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brank\Documents\Branko HOME pages\documents dwnload from Home Pages Jun2022\"/>
    </mc:Choice>
  </mc:AlternateContent>
  <xr:revisionPtr revIDLastSave="0" documentId="13_ncr:1_{B4D3C976-EA07-47E5-8EB6-617A4F8E62D5}" xr6:coauthVersionLast="47" xr6:coauthVersionMax="47" xr10:uidLastSave="{00000000-0000-0000-0000-000000000000}"/>
  <bookViews>
    <workbookView xWindow="60" yWindow="150" windowWidth="15900" windowHeight="15480" activeTab="1" xr2:uid="{00000000-000D-0000-FFFF-FFFF00000000}"/>
  </bookViews>
  <sheets>
    <sheet name="1. ACF_PACF" sheetId="8" r:id="rId1"/>
    <sheet name="B-J ARMA" sheetId="3" r:id="rId2"/>
  </sheets>
  <definedNames>
    <definedName name="solver_adj" localSheetId="1" hidden="1">'B-J ARMA'!$F$6:$G$6,'B-J ARMA'!$F$7:$G$9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'B-J ARMA'!$B$11</definedName>
    <definedName name="solver_lhs10" localSheetId="1" hidden="1">'B-J ARMA'!$B$21</definedName>
    <definedName name="solver_lhs11" localSheetId="1" hidden="1">'B-J ARMA'!$B$20</definedName>
    <definedName name="solver_lhs12" localSheetId="1" hidden="1">'B-J ARMA'!$B$23</definedName>
    <definedName name="solver_lhs13" localSheetId="1" hidden="1">'B-J ARMA'!$B$24</definedName>
    <definedName name="solver_lhs14" localSheetId="1" hidden="1">'B-J ARMA'!$F$6:$G$6</definedName>
    <definedName name="solver_lhs15" localSheetId="1" hidden="1">'B-J ARMA'!$B$25</definedName>
    <definedName name="solver_lhs16" localSheetId="1" hidden="1">'B-J ARMA'!$F$6:$G$6</definedName>
    <definedName name="solver_lhs17" localSheetId="1" hidden="1">'B-J ARMA'!$B$26</definedName>
    <definedName name="solver_lhs18" localSheetId="1" hidden="1">'B-J ARMA'!$B$12</definedName>
    <definedName name="solver_lhs19" localSheetId="1" hidden="1">'B-J ARMA'!$F$6:$G$6</definedName>
    <definedName name="solver_lhs2" localSheetId="1" hidden="1">'B-J ARMA'!$B$14</definedName>
    <definedName name="solver_lhs20" localSheetId="1" hidden="1">'B-J ARMA'!$B$13</definedName>
    <definedName name="solver_lhs21" localSheetId="1" hidden="1">'B-J ARMA'!$B$21</definedName>
    <definedName name="solver_lhs3" localSheetId="1" hidden="1">'B-J ARMA'!$B$13</definedName>
    <definedName name="solver_lhs4" localSheetId="1" hidden="1">'B-J ARMA'!$B$15</definedName>
    <definedName name="solver_lhs5" localSheetId="1" hidden="1">'B-J ARMA'!$B$16</definedName>
    <definedName name="solver_lhs6" localSheetId="1" hidden="1">'B-J ARMA'!$B$17</definedName>
    <definedName name="solver_lhs7" localSheetId="1" hidden="1">'B-J ARMA'!$B$18</definedName>
    <definedName name="solver_lhs8" localSheetId="1" hidden="1">'B-J ARMA'!$B$19</definedName>
    <definedName name="solver_lhs9" localSheetId="1" hidden="1">'B-J ARMA'!$B$22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1</definedName>
    <definedName name="solver_neg" localSheetId="1" hidden="1">2</definedName>
    <definedName name="solver_nod" localSheetId="1" hidden="1">2147483647</definedName>
    <definedName name="solver_num" localSheetId="1" hidden="1">19</definedName>
    <definedName name="solver_nwt" localSheetId="1" hidden="1">1</definedName>
    <definedName name="solver_opt" localSheetId="1" hidden="1">'B-J ARMA'!$F$21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10" localSheetId="1" hidden="1">1</definedName>
    <definedName name="solver_rel11" localSheetId="1" hidden="1">1</definedName>
    <definedName name="solver_rel12" localSheetId="1" hidden="1">1</definedName>
    <definedName name="solver_rel13" localSheetId="1" hidden="1">1</definedName>
    <definedName name="solver_rel14" localSheetId="1" hidden="1">1</definedName>
    <definedName name="solver_rel15" localSheetId="1" hidden="1">1</definedName>
    <definedName name="solver_rel16" localSheetId="1" hidden="1">4</definedName>
    <definedName name="solver_rel17" localSheetId="1" hidden="1">1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1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el7" localSheetId="1" hidden="1">1</definedName>
    <definedName name="solver_rel8" localSheetId="1" hidden="1">1</definedName>
    <definedName name="solver_rel9" localSheetId="1" hidden="1">1</definedName>
    <definedName name="solver_rhs1" localSheetId="1" hidden="1">1</definedName>
    <definedName name="solver_rhs10" localSheetId="1" hidden="1">1</definedName>
    <definedName name="solver_rhs11" localSheetId="1" hidden="1">1</definedName>
    <definedName name="solver_rhs12" localSheetId="1" hidden="1">1</definedName>
    <definedName name="solver_rhs13" localSheetId="1" hidden="1">1</definedName>
    <definedName name="solver_rhs14" localSheetId="1" hidden="1">3</definedName>
    <definedName name="solver_rhs15" localSheetId="1" hidden="1">1</definedName>
    <definedName name="solver_rhs16" localSheetId="1" hidden="1">integer</definedName>
    <definedName name="solver_rhs17" localSheetId="1" hidden="1">1</definedName>
    <definedName name="solver_rhs18" localSheetId="1" hidden="1">1</definedName>
    <definedName name="solver_rhs19" localSheetId="1" hidden="1">1</definedName>
    <definedName name="solver_rhs2" localSheetId="1" hidden="1">1</definedName>
    <definedName name="solver_rhs20" localSheetId="1" hidden="1">1</definedName>
    <definedName name="solver_rhs21" localSheetId="1" hidden="1">1</definedName>
    <definedName name="solver_rhs3" localSheetId="1" hidden="1">1</definedName>
    <definedName name="solver_rhs4" localSheetId="1" hidden="1">1</definedName>
    <definedName name="solver_rhs5" localSheetId="1" hidden="1">1</definedName>
    <definedName name="solver_rhs6" localSheetId="1" hidden="1">1</definedName>
    <definedName name="solver_rhs7" localSheetId="1" hidden="1">1</definedName>
    <definedName name="solver_rhs8" localSheetId="1" hidden="1">1</definedName>
    <definedName name="solver_rhs9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2" i="3"/>
  <c r="C3" i="8"/>
  <c r="C4" i="8"/>
  <c r="Q4" i="8"/>
  <c r="C5" i="8"/>
  <c r="Q5" i="8"/>
  <c r="C6" i="8"/>
  <c r="Q6" i="8"/>
  <c r="C7" i="8"/>
  <c r="Q7" i="8"/>
  <c r="C8" i="8"/>
  <c r="Q8" i="8"/>
  <c r="C9" i="8"/>
  <c r="Q9" i="8"/>
  <c r="C10" i="8"/>
  <c r="Q10" i="8"/>
  <c r="C11" i="8"/>
  <c r="Q11" i="8"/>
  <c r="C12" i="8"/>
  <c r="Q12" i="8"/>
  <c r="C13" i="8"/>
  <c r="Q13" i="8"/>
  <c r="C14" i="8"/>
  <c r="Q14" i="8"/>
  <c r="C15" i="8"/>
  <c r="Q15" i="8"/>
  <c r="C16" i="8"/>
  <c r="Q16" i="8"/>
  <c r="C17" i="8"/>
  <c r="Q17" i="8"/>
  <c r="C18" i="8"/>
  <c r="Q18" i="8"/>
  <c r="C19" i="8"/>
  <c r="Q19" i="8"/>
  <c r="C20" i="8"/>
  <c r="Q20" i="8"/>
  <c r="C21" i="8"/>
  <c r="Q21" i="8"/>
  <c r="C22" i="8"/>
  <c r="Q22" i="8"/>
  <c r="C23" i="8"/>
  <c r="Q23" i="8"/>
  <c r="C24" i="8"/>
  <c r="Q24" i="8"/>
  <c r="C25" i="8"/>
  <c r="Q25" i="8"/>
  <c r="C26" i="8"/>
  <c r="Q26" i="8"/>
  <c r="C27" i="8"/>
  <c r="Q27" i="8"/>
  <c r="C28" i="8"/>
  <c r="Q28" i="8"/>
  <c r="C29" i="8"/>
  <c r="Q29" i="8"/>
  <c r="C30" i="8"/>
  <c r="Q30" i="8"/>
  <c r="C31" i="8"/>
  <c r="Q31" i="8"/>
  <c r="C32" i="8"/>
  <c r="Q32" i="8"/>
  <c r="C33" i="8"/>
  <c r="Q33" i="8"/>
  <c r="C34" i="8"/>
  <c r="Q34" i="8"/>
  <c r="C35" i="8"/>
  <c r="Q35" i="8"/>
  <c r="C36" i="8"/>
  <c r="Q36" i="8"/>
  <c r="C37" i="8"/>
  <c r="Q37" i="8"/>
  <c r="C38" i="8"/>
  <c r="Q38" i="8"/>
  <c r="C39" i="8"/>
  <c r="Q39" i="8"/>
  <c r="C40" i="8"/>
  <c r="Q40" i="8"/>
  <c r="C41" i="8"/>
  <c r="Q41" i="8"/>
  <c r="R41" i="8"/>
  <c r="C42" i="8"/>
  <c r="Q42" i="8"/>
  <c r="C43" i="8"/>
  <c r="Q43" i="8"/>
  <c r="C44" i="8"/>
  <c r="Q44" i="8"/>
  <c r="C45" i="8"/>
  <c r="Q45" i="8"/>
  <c r="R45" i="8" s="1"/>
  <c r="C46" i="8"/>
  <c r="Q46" i="8"/>
  <c r="C47" i="8"/>
  <c r="Q47" i="8"/>
  <c r="C48" i="8"/>
  <c r="Q48" i="8"/>
  <c r="C49" i="8"/>
  <c r="Q49" i="8"/>
  <c r="C50" i="8"/>
  <c r="Q50" i="8"/>
  <c r="R50" i="8" s="1"/>
  <c r="C51" i="8"/>
  <c r="Q51" i="8"/>
  <c r="C52" i="8"/>
  <c r="Q52" i="8"/>
  <c r="Q53" i="8"/>
  <c r="R53" i="8" s="1"/>
  <c r="R51" i="8" l="1"/>
  <c r="R30" i="8"/>
  <c r="R38" i="8"/>
  <c r="B7" i="3"/>
  <c r="C7" i="3" s="1"/>
  <c r="B3" i="3"/>
  <c r="B6" i="3" s="1"/>
  <c r="B2" i="3"/>
  <c r="B4" i="3"/>
  <c r="B5" i="3" s="1"/>
  <c r="R42" i="8"/>
  <c r="R27" i="8"/>
  <c r="M20" i="8"/>
  <c r="R34" i="8"/>
  <c r="R43" i="8"/>
  <c r="R33" i="8"/>
  <c r="R39" i="8"/>
  <c r="R52" i="8"/>
  <c r="R46" i="8"/>
  <c r="R36" i="8"/>
  <c r="R37" i="8"/>
  <c r="R32" i="8"/>
  <c r="R23" i="8"/>
  <c r="R21" i="8"/>
  <c r="R15" i="8"/>
  <c r="R31" i="8"/>
  <c r="R26" i="8"/>
  <c r="R20" i="8"/>
  <c r="R16" i="8"/>
  <c r="D10" i="8"/>
  <c r="R6" i="8"/>
  <c r="R44" i="8"/>
  <c r="D16" i="8"/>
  <c r="D11" i="8"/>
  <c r="M19" i="8"/>
  <c r="D20" i="8"/>
  <c r="M18" i="8"/>
  <c r="D21" i="8"/>
  <c r="M21" i="8"/>
  <c r="D8" i="8"/>
  <c r="M15" i="8"/>
  <c r="D6" i="8"/>
  <c r="M6" i="8"/>
  <c r="D17" i="8"/>
  <c r="M17" i="8"/>
  <c r="M11" i="8"/>
  <c r="D12" i="8"/>
  <c r="M12" i="8"/>
  <c r="M13" i="8"/>
  <c r="D14" i="8"/>
  <c r="M14" i="8"/>
  <c r="R4" i="8"/>
  <c r="R28" i="8"/>
  <c r="R17" i="8"/>
  <c r="R13" i="8"/>
  <c r="R25" i="8"/>
  <c r="D22" i="8"/>
  <c r="D15" i="8"/>
  <c r="R18" i="8"/>
  <c r="R10" i="8"/>
  <c r="M7" i="8"/>
  <c r="M16" i="8"/>
  <c r="R49" i="8"/>
  <c r="R40" i="8"/>
  <c r="D19" i="8"/>
  <c r="E19" i="8" s="1"/>
  <c r="AF19" i="8" s="1"/>
  <c r="R19" i="8"/>
  <c r="D7" i="8"/>
  <c r="R47" i="8"/>
  <c r="R35" i="8"/>
  <c r="R29" i="8"/>
  <c r="R22" i="8"/>
  <c r="R14" i="8"/>
  <c r="R11" i="8"/>
  <c r="D9" i="8"/>
  <c r="E9" i="8" s="1"/>
  <c r="AF9" i="8" s="1"/>
  <c r="R7" i="8"/>
  <c r="R24" i="8"/>
  <c r="M22" i="8"/>
  <c r="D18" i="8"/>
  <c r="R48" i="8"/>
  <c r="D13" i="8"/>
  <c r="E13" i="8" s="1"/>
  <c r="AF13" i="8" s="1"/>
  <c r="R12" i="8"/>
  <c r="M10" i="8"/>
  <c r="D4" i="8"/>
  <c r="D2" i="8"/>
  <c r="M9" i="8"/>
  <c r="R8" i="8"/>
  <c r="R5" i="8"/>
  <c r="M3" i="8"/>
  <c r="D3" i="8"/>
  <c r="M8" i="8"/>
  <c r="R9" i="8"/>
  <c r="M5" i="8"/>
  <c r="D5" i="8"/>
  <c r="E5" i="8" s="1"/>
  <c r="AF5" i="8" s="1"/>
  <c r="M4" i="8"/>
  <c r="B8" i="3" l="1"/>
  <c r="C5" i="3"/>
  <c r="E7" i="8"/>
  <c r="AF7" i="8" s="1"/>
  <c r="K10" i="8"/>
  <c r="L10" i="8"/>
  <c r="L4" i="8"/>
  <c r="K4" i="8"/>
  <c r="E4" i="8"/>
  <c r="AF4" i="8" s="1"/>
  <c r="S10" i="8"/>
  <c r="T10" i="8" s="1"/>
  <c r="AF33" i="8" s="1"/>
  <c r="AC10" i="8"/>
  <c r="S13" i="8"/>
  <c r="T13" i="8" s="1"/>
  <c r="AF36" i="8" s="1"/>
  <c r="AC13" i="8"/>
  <c r="S2" i="8"/>
  <c r="S7" i="8"/>
  <c r="AC7" i="8"/>
  <c r="S16" i="8"/>
  <c r="T16" i="8" s="1"/>
  <c r="AF39" i="8" s="1"/>
  <c r="AC16" i="8"/>
  <c r="S9" i="8"/>
  <c r="T9" i="8" s="1"/>
  <c r="AF32" i="8" s="1"/>
  <c r="AC9" i="8"/>
  <c r="S14" i="8"/>
  <c r="AC14" i="8"/>
  <c r="S4" i="8"/>
  <c r="T4" i="8" s="1"/>
  <c r="AF27" i="8" s="1"/>
  <c r="AH27" i="8" s="1"/>
  <c r="AC4" i="8"/>
  <c r="S19" i="8"/>
  <c r="T19" i="8" s="1"/>
  <c r="AF42" i="8" s="1"/>
  <c r="S5" i="8"/>
  <c r="T5" i="8" s="1"/>
  <c r="AF28" i="8" s="1"/>
  <c r="AI28" i="8" s="1"/>
  <c r="AC5" i="8"/>
  <c r="S18" i="8"/>
  <c r="T18" i="8" s="1"/>
  <c r="AF41" i="8" s="1"/>
  <c r="AC18" i="8"/>
  <c r="S21" i="8"/>
  <c r="T21" i="8" s="1"/>
  <c r="AF44" i="8" s="1"/>
  <c r="S8" i="8"/>
  <c r="T8" i="8" s="1"/>
  <c r="AF31" i="8" s="1"/>
  <c r="AC8" i="8"/>
  <c r="S15" i="8"/>
  <c r="T15" i="8" s="1"/>
  <c r="AF38" i="8" s="1"/>
  <c r="AC15" i="8"/>
  <c r="S11" i="8"/>
  <c r="T11" i="8" s="1"/>
  <c r="AF34" i="8" s="1"/>
  <c r="AC11" i="8"/>
  <c r="S12" i="8"/>
  <c r="T12" i="8" s="1"/>
  <c r="AF35" i="8" s="1"/>
  <c r="AC12" i="8"/>
  <c r="S6" i="8"/>
  <c r="T6" i="8" s="1"/>
  <c r="AF29" i="8" s="1"/>
  <c r="S20" i="8"/>
  <c r="T20" i="8" s="1"/>
  <c r="AF43" i="8" s="1"/>
  <c r="AC6" i="8"/>
  <c r="S23" i="8"/>
  <c r="T23" i="8" s="1"/>
  <c r="AF46" i="8" s="1"/>
  <c r="AC23" i="8"/>
  <c r="AC20" i="8"/>
  <c r="S22" i="8"/>
  <c r="T22" i="8" s="1"/>
  <c r="AF45" i="8" s="1"/>
  <c r="AC19" i="8"/>
  <c r="AC21" i="8"/>
  <c r="AC17" i="8"/>
  <c r="AC22" i="8"/>
  <c r="S17" i="8"/>
  <c r="T17" i="8" s="1"/>
  <c r="AF40" i="8" s="1"/>
  <c r="L18" i="8"/>
  <c r="K18" i="8"/>
  <c r="E16" i="8"/>
  <c r="AF16" i="8" s="1"/>
  <c r="L5" i="8"/>
  <c r="K5" i="8"/>
  <c r="E15" i="8"/>
  <c r="AF15" i="8" s="1"/>
  <c r="K12" i="8"/>
  <c r="L12" i="8"/>
  <c r="E6" i="8"/>
  <c r="AF6" i="8" s="1"/>
  <c r="E22" i="8"/>
  <c r="AF22" i="8" s="1"/>
  <c r="K14" i="8"/>
  <c r="L14" i="8"/>
  <c r="E12" i="8"/>
  <c r="AF12" i="8" s="1"/>
  <c r="E20" i="8"/>
  <c r="AF20" i="8" s="1"/>
  <c r="E10" i="8"/>
  <c r="AF10" i="8" s="1"/>
  <c r="K6" i="8"/>
  <c r="L6" i="8"/>
  <c r="E14" i="8"/>
  <c r="AF14" i="8" s="1"/>
  <c r="K11" i="8"/>
  <c r="L11" i="8"/>
  <c r="K15" i="8"/>
  <c r="L15" i="8"/>
  <c r="L19" i="8"/>
  <c r="K19" i="8"/>
  <c r="K8" i="8"/>
  <c r="L8" i="8"/>
  <c r="K17" i="8"/>
  <c r="L17" i="8"/>
  <c r="E8" i="8"/>
  <c r="AF8" i="8" s="1"/>
  <c r="L20" i="8"/>
  <c r="K20" i="8"/>
  <c r="E3" i="8"/>
  <c r="K9" i="8"/>
  <c r="L9" i="8"/>
  <c r="E18" i="8"/>
  <c r="AF18" i="8" s="1"/>
  <c r="K16" i="8"/>
  <c r="L16" i="8"/>
  <c r="E17" i="8"/>
  <c r="AF17" i="8" s="1"/>
  <c r="K21" i="8"/>
  <c r="L21" i="8"/>
  <c r="K3" i="8"/>
  <c r="L3" i="8"/>
  <c r="L22" i="8"/>
  <c r="K22" i="8"/>
  <c r="K7" i="8"/>
  <c r="L7" i="8"/>
  <c r="K13" i="8"/>
  <c r="L13" i="8"/>
  <c r="E21" i="8"/>
  <c r="AF21" i="8" s="1"/>
  <c r="E11" i="8"/>
  <c r="AF11" i="8" s="1"/>
  <c r="AA17" i="8" l="1"/>
  <c r="AB17" i="8"/>
  <c r="AB23" i="8"/>
  <c r="AA23" i="8"/>
  <c r="AA12" i="8"/>
  <c r="AB12" i="8"/>
  <c r="AA8" i="8"/>
  <c r="AB8" i="8"/>
  <c r="AA5" i="8"/>
  <c r="AB5" i="8"/>
  <c r="AB10" i="8"/>
  <c r="AA10" i="8"/>
  <c r="AG28" i="8"/>
  <c r="Z5" i="8" s="1"/>
  <c r="AA14" i="8"/>
  <c r="AB14" i="8"/>
  <c r="AA19" i="8"/>
  <c r="AB19" i="8"/>
  <c r="AA6" i="8"/>
  <c r="AB6" i="8"/>
  <c r="AA11" i="8"/>
  <c r="AB11" i="8"/>
  <c r="T14" i="8"/>
  <c r="AF37" i="8" s="1"/>
  <c r="AB7" i="8"/>
  <c r="AA7" i="8"/>
  <c r="W5" i="8"/>
  <c r="AA21" i="8"/>
  <c r="AB21" i="8"/>
  <c r="AA9" i="8"/>
  <c r="AB9" i="8"/>
  <c r="T7" i="8"/>
  <c r="AF30" i="8" s="1"/>
  <c r="W4" i="8"/>
  <c r="AA18" i="8"/>
  <c r="AB18" i="8"/>
  <c r="AA20" i="8"/>
  <c r="AB20" i="8"/>
  <c r="AA4" i="8"/>
  <c r="AB4" i="8"/>
  <c r="W6" i="8"/>
  <c r="AA15" i="8"/>
  <c r="AB15" i="8"/>
  <c r="AH28" i="8"/>
  <c r="AJ29" i="8" s="1"/>
  <c r="AG27" i="8"/>
  <c r="Z4" i="8" s="1"/>
  <c r="AB16" i="8"/>
  <c r="AA16" i="8"/>
  <c r="AB13" i="8"/>
  <c r="AA13" i="8"/>
  <c r="AF3" i="8"/>
  <c r="AH3" i="8" s="1"/>
  <c r="H14" i="8"/>
  <c r="H5" i="8"/>
  <c r="H11" i="8"/>
  <c r="H18" i="8"/>
  <c r="H15" i="8"/>
  <c r="H22" i="8"/>
  <c r="H12" i="8"/>
  <c r="H21" i="8"/>
  <c r="H8" i="8"/>
  <c r="H6" i="8"/>
  <c r="H13" i="8"/>
  <c r="H3" i="8"/>
  <c r="H7" i="8"/>
  <c r="H19" i="8"/>
  <c r="H4" i="8"/>
  <c r="H16" i="8"/>
  <c r="H10" i="8"/>
  <c r="H17" i="8"/>
  <c r="H9" i="8"/>
  <c r="H20" i="8"/>
  <c r="AB22" i="8"/>
  <c r="AA22" i="8"/>
  <c r="W22" i="8" l="1"/>
  <c r="W9" i="8"/>
  <c r="U9" i="8" s="1"/>
  <c r="W13" i="8"/>
  <c r="U13" i="8" s="1"/>
  <c r="W19" i="8"/>
  <c r="W21" i="8"/>
  <c r="V21" i="8" s="1"/>
  <c r="W10" i="8"/>
  <c r="W20" i="8"/>
  <c r="U20" i="8" s="1"/>
  <c r="W18" i="8"/>
  <c r="V18" i="8" s="1"/>
  <c r="F16" i="8"/>
  <c r="G16" i="8"/>
  <c r="AG3" i="8"/>
  <c r="J3" i="8" s="1"/>
  <c r="U19" i="8"/>
  <c r="V19" i="8"/>
  <c r="G10" i="8"/>
  <c r="F10" i="8"/>
  <c r="F8" i="8"/>
  <c r="G8" i="8"/>
  <c r="F14" i="8"/>
  <c r="G14" i="8"/>
  <c r="AH29" i="8"/>
  <c r="U4" i="8"/>
  <c r="V4" i="8"/>
  <c r="G21" i="8"/>
  <c r="F21" i="8"/>
  <c r="V13" i="8"/>
  <c r="F4" i="8"/>
  <c r="G4" i="8"/>
  <c r="G12" i="8"/>
  <c r="F12" i="8"/>
  <c r="U6" i="8"/>
  <c r="V6" i="8"/>
  <c r="W12" i="8"/>
  <c r="W7" i="8"/>
  <c r="W8" i="8"/>
  <c r="V9" i="8"/>
  <c r="F19" i="8"/>
  <c r="G19" i="8"/>
  <c r="F22" i="8"/>
  <c r="G22" i="8"/>
  <c r="W15" i="8"/>
  <c r="F7" i="8"/>
  <c r="G7" i="8"/>
  <c r="W17" i="8"/>
  <c r="U21" i="8"/>
  <c r="F15" i="8"/>
  <c r="G15" i="8"/>
  <c r="U22" i="8"/>
  <c r="V22" i="8"/>
  <c r="F20" i="8"/>
  <c r="G20" i="8"/>
  <c r="F3" i="8"/>
  <c r="G3" i="8"/>
  <c r="F18" i="8"/>
  <c r="G18" i="8"/>
  <c r="W14" i="8"/>
  <c r="W11" i="8"/>
  <c r="V5" i="8"/>
  <c r="U5" i="8"/>
  <c r="U10" i="8"/>
  <c r="V10" i="8"/>
  <c r="F9" i="8"/>
  <c r="G9" i="8"/>
  <c r="G13" i="8"/>
  <c r="F13" i="8"/>
  <c r="G11" i="8"/>
  <c r="F11" i="8"/>
  <c r="W16" i="8"/>
  <c r="AI4" i="8"/>
  <c r="W23" i="8"/>
  <c r="AI29" i="8"/>
  <c r="F17" i="8"/>
  <c r="G17" i="8"/>
  <c r="F6" i="8"/>
  <c r="G6" i="8"/>
  <c r="F5" i="8"/>
  <c r="G5" i="8"/>
  <c r="AG29" i="8"/>
  <c r="Z6" i="8" s="1"/>
  <c r="V20" i="8" l="1"/>
  <c r="U18" i="8"/>
  <c r="U11" i="8"/>
  <c r="V11" i="8"/>
  <c r="U17" i="8"/>
  <c r="V17" i="8"/>
  <c r="AK30" i="8"/>
  <c r="AI30" i="8" s="1"/>
  <c r="U14" i="8"/>
  <c r="V14" i="8"/>
  <c r="U23" i="8"/>
  <c r="V23" i="8"/>
  <c r="AG4" i="8"/>
  <c r="J4" i="8" s="1"/>
  <c r="V8" i="8"/>
  <c r="U8" i="8"/>
  <c r="U16" i="8"/>
  <c r="V16" i="8"/>
  <c r="U7" i="8"/>
  <c r="V7" i="8"/>
  <c r="AH4" i="8"/>
  <c r="U12" i="8"/>
  <c r="V12" i="8"/>
  <c r="V15" i="8"/>
  <c r="U15" i="8"/>
  <c r="AH30" i="8" l="1"/>
  <c r="AG30" i="8"/>
  <c r="Z7" i="8" s="1"/>
  <c r="AJ30" i="8"/>
  <c r="AJ5" i="8"/>
  <c r="AI5" i="8" s="1"/>
  <c r="AL31" i="8" l="1"/>
  <c r="AG31" i="8" s="1"/>
  <c r="Z8" i="8" s="1"/>
  <c r="AG5" i="8"/>
  <c r="J5" i="8" s="1"/>
  <c r="AH5" i="8"/>
  <c r="AJ31" i="8" l="1"/>
  <c r="AI31" i="8"/>
  <c r="AH31" i="8"/>
  <c r="AK31" i="8"/>
  <c r="AK6" i="8"/>
  <c r="AM32" i="8" l="1"/>
  <c r="AK32" i="8" s="1"/>
  <c r="AG6" i="8"/>
  <c r="J6" i="8" s="1"/>
  <c r="AJ6" i="8"/>
  <c r="AI6" i="8"/>
  <c r="AH6" i="8"/>
  <c r="AH32" i="8" l="1"/>
  <c r="AN33" i="8" s="1"/>
  <c r="AH33" i="8" s="1"/>
  <c r="AG32" i="8"/>
  <c r="Z9" i="8" s="1"/>
  <c r="AJ32" i="8"/>
  <c r="AI32" i="8"/>
  <c r="AL32" i="8"/>
  <c r="AL7" i="8"/>
  <c r="AJ7" i="8" s="1"/>
  <c r="AL33" i="8" l="1"/>
  <c r="AI7" i="8"/>
  <c r="AI33" i="8"/>
  <c r="AM33" i="8"/>
  <c r="AJ33" i="8"/>
  <c r="AG7" i="8"/>
  <c r="J7" i="8" s="1"/>
  <c r="AK7" i="8"/>
  <c r="AH7" i="8"/>
  <c r="AG33" i="8"/>
  <c r="Z10" i="8" s="1"/>
  <c r="AK33" i="8"/>
  <c r="AM8" i="8" l="1"/>
  <c r="AI8" i="8" s="1"/>
  <c r="AO34" i="8"/>
  <c r="AK34" i="8" s="1"/>
  <c r="AK8" i="8" l="1"/>
  <c r="AG34" i="8"/>
  <c r="Z11" i="8" s="1"/>
  <c r="AI34" i="8"/>
  <c r="AJ34" i="8"/>
  <c r="AL34" i="8"/>
  <c r="AH34" i="8"/>
  <c r="AM34" i="8"/>
  <c r="AN34" i="8"/>
  <c r="AG8" i="8"/>
  <c r="J8" i="8" s="1"/>
  <c r="AL8" i="8"/>
  <c r="AJ8" i="8"/>
  <c r="AH8" i="8"/>
  <c r="AP35" i="8" l="1"/>
  <c r="AN9" i="8"/>
  <c r="AJ9" i="8" s="1"/>
  <c r="AK9" i="8" l="1"/>
  <c r="AI9" i="8"/>
  <c r="AM9" i="8"/>
  <c r="AL9" i="8"/>
  <c r="AG35" i="8"/>
  <c r="Z12" i="8" s="1"/>
  <c r="AK35" i="8"/>
  <c r="AI35" i="8"/>
  <c r="AL35" i="8"/>
  <c r="AM35" i="8"/>
  <c r="AJ35" i="8"/>
  <c r="AN35" i="8"/>
  <c r="AG9" i="8"/>
  <c r="J9" i="8" s="1"/>
  <c r="AO35" i="8"/>
  <c r="AH9" i="8"/>
  <c r="AH35" i="8"/>
  <c r="AQ36" i="8" l="1"/>
  <c r="AH36" i="8" s="1"/>
  <c r="AO10" i="8"/>
  <c r="AH10" i="8" s="1"/>
  <c r="AP36" i="8" l="1"/>
  <c r="AM36" i="8"/>
  <c r="AK36" i="8"/>
  <c r="AL36" i="8"/>
  <c r="AI36" i="8"/>
  <c r="AJ36" i="8"/>
  <c r="AN36" i="8"/>
  <c r="AO36" i="8"/>
  <c r="AG10" i="8"/>
  <c r="J10" i="8" s="1"/>
  <c r="AJ10" i="8"/>
  <c r="AI10" i="8"/>
  <c r="AL10" i="8"/>
  <c r="AK10" i="8"/>
  <c r="AN10" i="8"/>
  <c r="AM10" i="8"/>
  <c r="AG36" i="8"/>
  <c r="Z13" i="8" s="1"/>
  <c r="AR37" i="8" l="1"/>
  <c r="AI37" i="8" s="1"/>
  <c r="AP11" i="8"/>
  <c r="AM11" i="8" s="1"/>
  <c r="AJ37" i="8" l="1"/>
  <c r="AH37" i="8"/>
  <c r="AM37" i="8"/>
  <c r="AL37" i="8"/>
  <c r="AP37" i="8"/>
  <c r="AG37" i="8"/>
  <c r="Z14" i="8" s="1"/>
  <c r="AQ37" i="8"/>
  <c r="AN37" i="8"/>
  <c r="AS38" i="8" s="1"/>
  <c r="AJ38" i="8" s="1"/>
  <c r="AO37" i="8"/>
  <c r="AK37" i="8"/>
  <c r="AJ11" i="8"/>
  <c r="AK11" i="8"/>
  <c r="AG11" i="8"/>
  <c r="J11" i="8" s="1"/>
  <c r="AO11" i="8"/>
  <c r="AH11" i="8"/>
  <c r="AI11" i="8"/>
  <c r="AL11" i="8"/>
  <c r="AN11" i="8"/>
  <c r="AL38" i="8" l="1"/>
  <c r="AQ12" i="8"/>
  <c r="AO12" i="8" s="1"/>
  <c r="AP38" i="8"/>
  <c r="AG38" i="8"/>
  <c r="Z15" i="8" s="1"/>
  <c r="AI38" i="8"/>
  <c r="AR38" i="8"/>
  <c r="AH38" i="8"/>
  <c r="AO38" i="8"/>
  <c r="AM38" i="8"/>
  <c r="AN38" i="8"/>
  <c r="AK38" i="8"/>
  <c r="AQ38" i="8"/>
  <c r="AL12" i="8" l="1"/>
  <c r="AN12" i="8"/>
  <c r="AP12" i="8"/>
  <c r="AG12" i="8"/>
  <c r="J12" i="8" s="1"/>
  <c r="AM12" i="8"/>
  <c r="AK12" i="8"/>
  <c r="AJ12" i="8"/>
  <c r="AI12" i="8"/>
  <c r="AT39" i="8"/>
  <c r="AM39" i="8" s="1"/>
  <c r="AH12" i="8"/>
  <c r="AR39" i="8" l="1"/>
  <c r="AK39" i="8"/>
  <c r="AH39" i="8"/>
  <c r="AI39" i="8"/>
  <c r="AN39" i="8"/>
  <c r="AO39" i="8"/>
  <c r="AG39" i="8"/>
  <c r="Z16" i="8" s="1"/>
  <c r="AL39" i="8"/>
  <c r="AS39" i="8"/>
  <c r="AJ39" i="8"/>
  <c r="AQ39" i="8"/>
  <c r="AP39" i="8"/>
  <c r="AR13" i="8"/>
  <c r="AI13" i="8" s="1"/>
  <c r="AL13" i="8" l="1"/>
  <c r="AP13" i="8"/>
  <c r="AU40" i="8"/>
  <c r="AQ40" i="8" s="1"/>
  <c r="AG13" i="8"/>
  <c r="J13" i="8" s="1"/>
  <c r="AQ13" i="8"/>
  <c r="AO13" i="8"/>
  <c r="AM13" i="8"/>
  <c r="AH13" i="8"/>
  <c r="AJ13" i="8"/>
  <c r="AK13" i="8"/>
  <c r="AN13" i="8"/>
  <c r="AL40" i="8" l="1"/>
  <c r="AP40" i="8"/>
  <c r="AI40" i="8"/>
  <c r="AT40" i="8"/>
  <c r="AK40" i="8"/>
  <c r="AH40" i="8"/>
  <c r="AO40" i="8"/>
  <c r="AS40" i="8"/>
  <c r="AN40" i="8"/>
  <c r="AR40" i="8"/>
  <c r="AG40" i="8"/>
  <c r="Z17" i="8" s="1"/>
  <c r="AM40" i="8"/>
  <c r="AS14" i="8"/>
  <c r="AJ14" i="8" s="1"/>
  <c r="AJ40" i="8"/>
  <c r="AN14" i="8" l="1"/>
  <c r="AO14" i="8"/>
  <c r="AQ14" i="8"/>
  <c r="AP14" i="8"/>
  <c r="AR14" i="8"/>
  <c r="AI14" i="8"/>
  <c r="AG14" i="8"/>
  <c r="J14" i="8" s="1"/>
  <c r="AM14" i="8"/>
  <c r="AH14" i="8"/>
  <c r="AV41" i="8"/>
  <c r="AJ41" i="8" s="1"/>
  <c r="AK14" i="8"/>
  <c r="AL14" i="8"/>
  <c r="AG41" i="8" l="1"/>
  <c r="Z18" i="8" s="1"/>
  <c r="AQ41" i="8"/>
  <c r="AT41" i="8"/>
  <c r="AH41" i="8"/>
  <c r="AK41" i="8"/>
  <c r="AU41" i="8"/>
  <c r="AL41" i="8"/>
  <c r="AI41" i="8"/>
  <c r="AM41" i="8"/>
  <c r="AP41" i="8"/>
  <c r="AR41" i="8"/>
  <c r="AT15" i="8"/>
  <c r="AP15" i="8" s="1"/>
  <c r="AN41" i="8"/>
  <c r="AS41" i="8"/>
  <c r="AO41" i="8"/>
  <c r="AK15" i="8" l="1"/>
  <c r="AR15" i="8"/>
  <c r="AL15" i="8"/>
  <c r="AM15" i="8"/>
  <c r="AH15" i="8"/>
  <c r="AN15" i="8"/>
  <c r="AI15" i="8"/>
  <c r="AO15" i="8"/>
  <c r="AQ15" i="8"/>
  <c r="AW42" i="8"/>
  <c r="AG15" i="8"/>
  <c r="J15" i="8" s="1"/>
  <c r="AS15" i="8"/>
  <c r="AJ15" i="8"/>
  <c r="AG42" i="8" l="1"/>
  <c r="Z19" i="8" s="1"/>
  <c r="AV42" i="8"/>
  <c r="AH42" i="8"/>
  <c r="AI42" i="8"/>
  <c r="AO42" i="8"/>
  <c r="AM42" i="8"/>
  <c r="AQ42" i="8"/>
  <c r="AU42" i="8"/>
  <c r="AK42" i="8"/>
  <c r="AL42" i="8"/>
  <c r="AR42" i="8"/>
  <c r="AU16" i="8"/>
  <c r="AR16" i="8" s="1"/>
  <c r="AN42" i="8"/>
  <c r="AJ42" i="8"/>
  <c r="AP42" i="8"/>
  <c r="AS42" i="8"/>
  <c r="AT42" i="8"/>
  <c r="AQ16" i="8" l="1"/>
  <c r="AS16" i="8"/>
  <c r="AJ16" i="8"/>
  <c r="AK16" i="8"/>
  <c r="AX43" i="8"/>
  <c r="AI43" i="8" s="1"/>
  <c r="AG16" i="8"/>
  <c r="J16" i="8" s="1"/>
  <c r="AP16" i="8"/>
  <c r="AL16" i="8"/>
  <c r="AH16" i="8"/>
  <c r="AT16" i="8"/>
  <c r="AM16" i="8"/>
  <c r="AN16" i="8"/>
  <c r="AI16" i="8"/>
  <c r="AO16" i="8"/>
  <c r="AW43" i="8" l="1"/>
  <c r="AV17" i="8"/>
  <c r="AH17" i="8" s="1"/>
  <c r="AH43" i="8"/>
  <c r="AM43" i="8"/>
  <c r="AU43" i="8"/>
  <c r="AT43" i="8"/>
  <c r="AG43" i="8"/>
  <c r="Z20" i="8" s="1"/>
  <c r="AQ43" i="8"/>
  <c r="AL43" i="8"/>
  <c r="AK43" i="8"/>
  <c r="AP43" i="8"/>
  <c r="AV43" i="8"/>
  <c r="AJ43" i="8"/>
  <c r="AR43" i="8"/>
  <c r="AN43" i="8"/>
  <c r="AO43" i="8"/>
  <c r="AS43" i="8"/>
  <c r="AU17" i="8" l="1"/>
  <c r="AQ17" i="8"/>
  <c r="AT17" i="8"/>
  <c r="AN17" i="8"/>
  <c r="AI17" i="8"/>
  <c r="AY44" i="8"/>
  <c r="AU44" i="8" s="1"/>
  <c r="AL17" i="8"/>
  <c r="AP17" i="8"/>
  <c r="AG17" i="8"/>
  <c r="J17" i="8" s="1"/>
  <c r="AR17" i="8"/>
  <c r="AS17" i="8"/>
  <c r="AM17" i="8"/>
  <c r="AO17" i="8"/>
  <c r="AK17" i="8"/>
  <c r="AJ17" i="8"/>
  <c r="AJ44" i="8" l="1"/>
  <c r="AV44" i="8"/>
  <c r="AN44" i="8"/>
  <c r="AO44" i="8"/>
  <c r="AS44" i="8"/>
  <c r="AP44" i="8"/>
  <c r="AL44" i="8"/>
  <c r="AH44" i="8"/>
  <c r="AW44" i="8"/>
  <c r="AI44" i="8"/>
  <c r="AQ44" i="8"/>
  <c r="AM44" i="8"/>
  <c r="AK44" i="8"/>
  <c r="AW18" i="8"/>
  <c r="AN18" i="8" s="1"/>
  <c r="AT44" i="8"/>
  <c r="AR44" i="8"/>
  <c r="AX44" i="8"/>
  <c r="AM18" i="8" l="1"/>
  <c r="AP18" i="8"/>
  <c r="AJ18" i="8"/>
  <c r="AK18" i="8"/>
  <c r="AT18" i="8"/>
  <c r="AO18" i="8"/>
  <c r="AS18" i="8"/>
  <c r="AQ18" i="8"/>
  <c r="AR18" i="8"/>
  <c r="AU18" i="8"/>
  <c r="AI18" i="8"/>
  <c r="AG18" i="8"/>
  <c r="J18" i="8" s="1"/>
  <c r="AH18" i="8"/>
  <c r="AV18" i="8"/>
  <c r="AG44" i="8"/>
  <c r="Z21" i="8" s="1"/>
  <c r="AL18" i="8"/>
  <c r="AZ45" i="8"/>
  <c r="AU45" i="8" l="1"/>
  <c r="AJ45" i="8"/>
  <c r="AQ45" i="8"/>
  <c r="AP45" i="8"/>
  <c r="AV45" i="8"/>
  <c r="AH45" i="8"/>
  <c r="AS45" i="8"/>
  <c r="AW45" i="8"/>
  <c r="AL45" i="8"/>
  <c r="AY45" i="8"/>
  <c r="AI45" i="8"/>
  <c r="AM45" i="8"/>
  <c r="AK45" i="8"/>
  <c r="AN45" i="8"/>
  <c r="AX45" i="8"/>
  <c r="AR45" i="8"/>
  <c r="AO45" i="8"/>
  <c r="AT45" i="8"/>
  <c r="AX19" i="8"/>
  <c r="AS19" i="8" s="1"/>
  <c r="BA46" i="8" l="1"/>
  <c r="AT46" i="8" s="1"/>
  <c r="AO19" i="8"/>
  <c r="AI19" i="8"/>
  <c r="AM19" i="8"/>
  <c r="AL19" i="8"/>
  <c r="AR19" i="8"/>
  <c r="AV19" i="8"/>
  <c r="AP19" i="8"/>
  <c r="AT19" i="8"/>
  <c r="AG45" i="8"/>
  <c r="Z22" i="8" s="1"/>
  <c r="AG19" i="8"/>
  <c r="J19" i="8" s="1"/>
  <c r="AH19" i="8"/>
  <c r="AK19" i="8"/>
  <c r="AQ19" i="8"/>
  <c r="AJ19" i="8"/>
  <c r="AU19" i="8"/>
  <c r="AW19" i="8"/>
  <c r="AN19" i="8"/>
  <c r="AV46" i="8" l="1"/>
  <c r="AH46" i="8"/>
  <c r="AR46" i="8"/>
  <c r="AN46" i="8"/>
  <c r="AP46" i="8"/>
  <c r="AQ46" i="8"/>
  <c r="AJ46" i="8"/>
  <c r="AY46" i="8"/>
  <c r="AW46" i="8"/>
  <c r="AY20" i="8"/>
  <c r="AJ20" i="8" s="1"/>
  <c r="AM46" i="8"/>
  <c r="AZ46" i="8"/>
  <c r="AL46" i="8"/>
  <c r="AO46" i="8"/>
  <c r="AI46" i="8"/>
  <c r="AK46" i="8" s="1"/>
  <c r="AX46" i="8"/>
  <c r="AG46" i="8" s="1"/>
  <c r="Z23" i="8" s="1"/>
  <c r="AS46" i="8"/>
  <c r="AU46" i="8"/>
  <c r="AV20" i="8" l="1"/>
  <c r="AQ20" i="8"/>
  <c r="AN20" i="8"/>
  <c r="AX20" i="8"/>
  <c r="AO20" i="8"/>
  <c r="AU20" i="8"/>
  <c r="AP20" i="8"/>
  <c r="AK20" i="8"/>
  <c r="AH20" i="8"/>
  <c r="AW20" i="8"/>
  <c r="AS20" i="8"/>
  <c r="AI20" i="8"/>
  <c r="AM20" i="8"/>
  <c r="AL20" i="8"/>
  <c r="AT20" i="8"/>
  <c r="AR20" i="8"/>
  <c r="AG20" i="8" l="1"/>
  <c r="J20" i="8" s="1"/>
  <c r="AZ21" i="8"/>
  <c r="AL21" i="8" s="1"/>
  <c r="AQ21" i="8" l="1"/>
  <c r="AH21" i="8"/>
  <c r="AW21" i="8"/>
  <c r="AR21" i="8"/>
  <c r="AV21" i="8"/>
  <c r="AN21" i="8"/>
  <c r="AM21" i="8"/>
  <c r="AI21" i="8"/>
  <c r="AY21" i="8"/>
  <c r="AS21" i="8"/>
  <c r="AP21" i="8"/>
  <c r="AJ21" i="8"/>
  <c r="AX21" i="8"/>
  <c r="AK21" i="8"/>
  <c r="AT21" i="8"/>
  <c r="AU21" i="8"/>
  <c r="AO21" i="8"/>
  <c r="BA22" i="8" l="1"/>
  <c r="AZ22" i="8" s="1"/>
  <c r="AG21" i="8"/>
  <c r="J21" i="8" s="1"/>
  <c r="AP22" i="8" l="1"/>
  <c r="AV22" i="8"/>
  <c r="AT22" i="8"/>
  <c r="AY22" i="8"/>
  <c r="AS22" i="8"/>
  <c r="AI22" i="8"/>
  <c r="AK22" i="8" s="1"/>
  <c r="AO22" i="8"/>
  <c r="AN22" i="8"/>
  <c r="AL22" i="8"/>
  <c r="AR22" i="8"/>
  <c r="AX22" i="8"/>
  <c r="AG22" i="8" s="1"/>
  <c r="J22" i="8" s="1"/>
  <c r="AJ22" i="8"/>
  <c r="AQ22" i="8"/>
  <c r="AU22" i="8"/>
  <c r="AM22" i="8"/>
  <c r="AH22" i="8"/>
  <c r="AW22" i="8"/>
  <c r="M3" i="3" l="1"/>
  <c r="L6" i="3" l="1"/>
  <c r="L7" i="3"/>
  <c r="L8" i="3"/>
  <c r="L9" i="3"/>
  <c r="L10" i="3"/>
  <c r="L11" i="3"/>
  <c r="L12" i="3"/>
  <c r="L13" i="3"/>
  <c r="L14" i="3"/>
  <c r="L15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" i="3"/>
  <c r="L4" i="3"/>
  <c r="L3" i="3"/>
  <c r="N3" i="3" s="1"/>
  <c r="L16" i="3" l="1"/>
  <c r="C26" i="3"/>
  <c r="C25" i="3"/>
  <c r="C24" i="3"/>
  <c r="C22" i="3"/>
  <c r="C21" i="3"/>
  <c r="C20" i="3"/>
  <c r="C18" i="3"/>
  <c r="C17" i="3"/>
  <c r="C15" i="3"/>
  <c r="C14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C23" i="3" l="1"/>
  <c r="C19" i="3"/>
  <c r="C16" i="3"/>
  <c r="C13" i="3"/>
  <c r="C12" i="3"/>
  <c r="C11" i="3" l="1"/>
  <c r="O3" i="3" l="1"/>
  <c r="M4" i="3" l="1"/>
  <c r="N4" i="3" s="1"/>
  <c r="O4" i="3" l="1"/>
  <c r="M5" i="3" l="1"/>
  <c r="N5" i="3" s="1"/>
  <c r="O5" i="3" l="1"/>
  <c r="M6" i="3" s="1"/>
  <c r="N6" i="3" s="1"/>
  <c r="O6" i="3" l="1"/>
  <c r="M7" i="3" l="1"/>
  <c r="N7" i="3" s="1"/>
  <c r="O7" i="3" l="1"/>
  <c r="M8" i="3" l="1"/>
  <c r="N8" i="3" s="1"/>
  <c r="O8" i="3" l="1"/>
  <c r="M9" i="3" s="1"/>
  <c r="N9" i="3" l="1"/>
  <c r="O9" i="3" s="1"/>
  <c r="M10" i="3" s="1"/>
  <c r="N10" i="3" s="1"/>
  <c r="O10" i="3" l="1"/>
  <c r="M11" i="3" l="1"/>
  <c r="N11" i="3" s="1"/>
  <c r="O11" i="3" l="1"/>
  <c r="M12" i="3" l="1"/>
  <c r="N12" i="3" s="1"/>
  <c r="O12" i="3" l="1"/>
  <c r="M13" i="3" s="1"/>
  <c r="N13" i="3" s="1"/>
  <c r="O13" i="3" l="1"/>
  <c r="M14" i="3" l="1"/>
  <c r="N14" i="3" s="1"/>
  <c r="O14" i="3" l="1"/>
  <c r="M15" i="3" l="1"/>
  <c r="N15" i="3" s="1"/>
  <c r="O15" i="3" l="1"/>
  <c r="M16" i="3" l="1"/>
  <c r="N16" i="3" s="1"/>
  <c r="O16" i="3" l="1"/>
  <c r="M17" i="3" l="1"/>
  <c r="N17" i="3" s="1"/>
  <c r="O17" i="3" l="1"/>
  <c r="M18" i="3" l="1"/>
  <c r="N18" i="3" s="1"/>
  <c r="O18" i="3" l="1"/>
  <c r="M19" i="3" l="1"/>
  <c r="N19" i="3" s="1"/>
  <c r="O19" i="3" l="1"/>
  <c r="M20" i="3" l="1"/>
  <c r="N20" i="3" s="1"/>
  <c r="O20" i="3" l="1"/>
  <c r="M21" i="3" l="1"/>
  <c r="N21" i="3" s="1"/>
  <c r="O21" i="3" l="1"/>
  <c r="M22" i="3" l="1"/>
  <c r="N22" i="3" s="1"/>
  <c r="O22" i="3" l="1"/>
  <c r="M23" i="3" l="1"/>
  <c r="N23" i="3" s="1"/>
  <c r="O23" i="3" l="1"/>
  <c r="M24" i="3" l="1"/>
  <c r="N24" i="3" s="1"/>
  <c r="O24" i="3" l="1"/>
  <c r="M25" i="3" l="1"/>
  <c r="N25" i="3" s="1"/>
  <c r="O25" i="3" l="1"/>
  <c r="M26" i="3" l="1"/>
  <c r="N26" i="3" s="1"/>
  <c r="O26" i="3" l="1"/>
  <c r="M27" i="3" l="1"/>
  <c r="N27" i="3" s="1"/>
  <c r="O27" i="3" l="1"/>
  <c r="M28" i="3" l="1"/>
  <c r="N28" i="3" s="1"/>
  <c r="O28" i="3" l="1"/>
  <c r="M29" i="3" l="1"/>
  <c r="N29" i="3" s="1"/>
  <c r="O29" i="3" l="1"/>
  <c r="M30" i="3" l="1"/>
  <c r="N30" i="3" s="1"/>
  <c r="O30" i="3" l="1"/>
  <c r="M31" i="3" l="1"/>
  <c r="N31" i="3" s="1"/>
  <c r="O31" i="3" l="1"/>
  <c r="M32" i="3" l="1"/>
  <c r="N32" i="3" s="1"/>
  <c r="O32" i="3" l="1"/>
  <c r="M33" i="3" l="1"/>
  <c r="N33" i="3" s="1"/>
  <c r="O33" i="3" l="1"/>
  <c r="M34" i="3" l="1"/>
  <c r="N34" i="3" s="1"/>
  <c r="O34" i="3" l="1"/>
  <c r="M35" i="3" l="1"/>
  <c r="N35" i="3" s="1"/>
  <c r="O35" i="3" l="1"/>
  <c r="M36" i="3" l="1"/>
  <c r="N36" i="3" s="1"/>
  <c r="O36" i="3" l="1"/>
  <c r="M37" i="3" l="1"/>
  <c r="N37" i="3" s="1"/>
  <c r="O37" i="3" l="1"/>
  <c r="M38" i="3" l="1"/>
  <c r="N38" i="3" s="1"/>
  <c r="O38" i="3" l="1"/>
  <c r="M39" i="3" l="1"/>
  <c r="N39" i="3" s="1"/>
  <c r="O39" i="3" l="1"/>
  <c r="M40" i="3" l="1"/>
  <c r="N40" i="3" s="1"/>
  <c r="O40" i="3" l="1"/>
  <c r="M41" i="3" l="1"/>
  <c r="N41" i="3" s="1"/>
  <c r="O41" i="3" l="1"/>
  <c r="M42" i="3" l="1"/>
  <c r="N42" i="3" s="1"/>
  <c r="O42" i="3" l="1"/>
  <c r="M43" i="3" l="1"/>
  <c r="N43" i="3" s="1"/>
  <c r="O43" i="3" l="1"/>
  <c r="M44" i="3" l="1"/>
  <c r="N44" i="3" s="1"/>
  <c r="O44" i="3" l="1"/>
  <c r="M45" i="3" l="1"/>
  <c r="N45" i="3" s="1"/>
  <c r="O45" i="3" l="1"/>
  <c r="M46" i="3" l="1"/>
  <c r="N46" i="3" s="1"/>
  <c r="O46" i="3" l="1"/>
  <c r="M47" i="3" l="1"/>
  <c r="N47" i="3" s="1"/>
  <c r="O47" i="3" l="1"/>
  <c r="M48" i="3" l="1"/>
  <c r="N48" i="3" s="1"/>
  <c r="O48" i="3" l="1"/>
  <c r="M49" i="3" l="1"/>
  <c r="N49" i="3" s="1"/>
  <c r="O49" i="3" l="1"/>
  <c r="M50" i="3" l="1"/>
  <c r="N50" i="3" s="1"/>
  <c r="O50" i="3" l="1"/>
  <c r="M51" i="3" l="1"/>
  <c r="N51" i="3" s="1"/>
  <c r="F4" i="3" l="1"/>
  <c r="F2" i="3" l="1"/>
  <c r="F3" i="3"/>
  <c r="O51" i="3"/>
  <c r="F21" i="3" l="1"/>
  <c r="F22" i="3"/>
  <c r="F23" i="3"/>
  <c r="F25" i="3" s="1"/>
  <c r="F26" i="3"/>
  <c r="G26" i="3" s="1"/>
  <c r="F18" i="3"/>
  <c r="F19" i="3"/>
  <c r="F20" i="3" s="1"/>
  <c r="F24" i="3" l="1"/>
  <c r="G20" i="3"/>
</calcChain>
</file>

<file path=xl/sharedStrings.xml><?xml version="1.0" encoding="utf-8"?>
<sst xmlns="http://schemas.openxmlformats.org/spreadsheetml/2006/main" count="141" uniqueCount="100">
  <si>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</si>
  <si>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</si>
  <si>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</si>
  <si>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</si>
  <si>
    <r>
      <t xml:space="preserve">Residual </t>
    </r>
    <r>
      <rPr>
        <sz val="11"/>
        <rFont val="Symbol"/>
        <family val="1"/>
        <charset val="2"/>
      </rPr>
      <t>m</t>
    </r>
  </si>
  <si>
    <t>Value</t>
  </si>
  <si>
    <r>
      <t>ŷ</t>
    </r>
    <r>
      <rPr>
        <b/>
        <vertAlign val="subscript"/>
        <sz val="11"/>
        <color theme="1"/>
        <rFont val="Calibri"/>
        <family val="2"/>
      </rPr>
      <t>t</t>
    </r>
  </si>
  <si>
    <t>Durbin-Watson</t>
  </si>
  <si>
    <r>
      <t>e</t>
    </r>
    <r>
      <rPr>
        <b/>
        <vertAlign val="subscript"/>
        <sz val="11"/>
        <rFont val="Calibri"/>
        <family val="2"/>
        <scheme val="minor"/>
      </rPr>
      <t>t</t>
    </r>
  </si>
  <si>
    <t>p</t>
  </si>
  <si>
    <t>q</t>
  </si>
  <si>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</si>
  <si>
    <t>AR(p)</t>
  </si>
  <si>
    <t>MA(q)</t>
  </si>
  <si>
    <r>
      <t>AR(1) 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</si>
  <si>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>AR(2)-1&lt;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</si>
  <si>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AR(2)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</si>
  <si>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AR(2)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</si>
  <si>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>MA(2)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</si>
  <si>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MA(2)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</si>
  <si>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MA(2)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</si>
  <si>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>AR(3) 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</si>
  <si>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AR(3)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</si>
  <si>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>AR(3) 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</si>
  <si>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AR)3)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(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</si>
  <si>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MA(3)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</si>
  <si>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MA(3)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</si>
  <si>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>MA(3) 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</si>
  <si>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MA(3)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(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</si>
  <si>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Residual SE</t>
    </r>
    <r>
      <rPr>
        <vertAlign val="subscript"/>
        <sz val="11"/>
        <color theme="1"/>
        <rFont val="Calibri"/>
        <family val="2"/>
        <scheme val="minor"/>
      </rPr>
      <t>e</t>
    </r>
  </si>
  <si>
    <t>Residual AIC</t>
  </si>
  <si>
    <t>Residual BIC</t>
  </si>
  <si>
    <t>Residual SSE</t>
  </si>
  <si>
    <t>Residual SEE</t>
  </si>
  <si>
    <t>Residual MSE</t>
  </si>
  <si>
    <r>
      <t>y</t>
    </r>
    <r>
      <rPr>
        <b/>
        <vertAlign val="subscript"/>
        <sz val="11"/>
        <rFont val="Calibri"/>
        <family val="2"/>
        <scheme val="minor"/>
      </rPr>
      <t>t</t>
    </r>
  </si>
  <si>
    <t>Comment</t>
  </si>
  <si>
    <t>95% Confid. 1.96*SE</t>
  </si>
  <si>
    <t>Residuals</t>
  </si>
  <si>
    <t>Time Series</t>
  </si>
  <si>
    <t>Permissible Region</t>
  </si>
  <si>
    <r>
      <t>Diff y</t>
    </r>
    <r>
      <rPr>
        <b/>
        <vertAlign val="subscript"/>
        <sz val="11"/>
        <rFont val="Calibri"/>
        <family val="2"/>
        <scheme val="minor"/>
      </rPr>
      <t>t</t>
    </r>
  </si>
  <si>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</si>
  <si>
    <r>
      <t>MA(1)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</si>
  <si>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t xml:space="preserve">PERIOD </t>
  </si>
  <si>
    <t>2SE</t>
  </si>
  <si>
    <t>-CI</t>
  </si>
  <si>
    <t>+CI</t>
  </si>
  <si>
    <r>
      <t>y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rFont val="Symbol"/>
        <family val="1"/>
        <charset val="2"/>
      </rPr>
      <t>m</t>
    </r>
  </si>
  <si>
    <r>
      <t>ACF y</t>
    </r>
    <r>
      <rPr>
        <b/>
        <vertAlign val="subscript"/>
        <sz val="11"/>
        <rFont val="Calibri"/>
        <family val="2"/>
        <scheme val="minor"/>
      </rPr>
      <t>t</t>
    </r>
  </si>
  <si>
    <r>
      <t>ACF Diff y</t>
    </r>
    <r>
      <rPr>
        <b/>
        <vertAlign val="subscript"/>
        <sz val="11"/>
        <rFont val="Calibri"/>
        <family val="2"/>
        <scheme val="minor"/>
      </rPr>
      <t>t</t>
    </r>
  </si>
  <si>
    <r>
      <t>PACF y</t>
    </r>
    <r>
      <rPr>
        <b/>
        <vertAlign val="subscript"/>
        <sz val="11"/>
        <rFont val="Calibri"/>
        <family val="2"/>
        <scheme val="minor"/>
      </rPr>
      <t>t</t>
    </r>
  </si>
  <si>
    <r>
      <t>PACF Diff y</t>
    </r>
    <r>
      <rPr>
        <b/>
        <vertAlign val="subscript"/>
        <sz val="11"/>
        <rFont val="Calibri"/>
        <family val="2"/>
        <scheme val="minor"/>
      </rPr>
      <t>t</t>
    </r>
  </si>
  <si>
    <t>k,1</t>
  </si>
  <si>
    <t>k,2</t>
  </si>
  <si>
    <t>k,3</t>
  </si>
  <si>
    <t>k,4</t>
  </si>
  <si>
    <t>k,5</t>
  </si>
  <si>
    <t>k,6</t>
  </si>
  <si>
    <t>k,7</t>
  </si>
  <si>
    <t>k,8</t>
  </si>
  <si>
    <t>k,9</t>
  </si>
  <si>
    <t>k,10</t>
  </si>
  <si>
    <t>k,11</t>
  </si>
  <si>
    <t>k,12</t>
  </si>
  <si>
    <t>k,13</t>
  </si>
  <si>
    <t>k,14</t>
  </si>
  <si>
    <t>k,15</t>
  </si>
  <si>
    <t>k,16</t>
  </si>
  <si>
    <t>k,17</t>
  </si>
  <si>
    <t>k,18</t>
  </si>
  <si>
    <t>k,19</t>
  </si>
  <si>
    <t>k,20</t>
  </si>
  <si>
    <t>Lag k</t>
  </si>
  <si>
    <r>
      <t>ACF r</t>
    </r>
    <r>
      <rPr>
        <vertAlign val="subscript"/>
        <sz val="11"/>
        <rFont val="Calibri"/>
        <family val="2"/>
        <scheme val="minor"/>
      </rPr>
      <t>k</t>
    </r>
  </si>
  <si>
    <r>
      <t>PACF r</t>
    </r>
    <r>
      <rPr>
        <vertAlign val="subscript"/>
        <sz val="11"/>
        <rFont val="Calibri"/>
        <family val="2"/>
        <scheme val="minor"/>
      </rPr>
      <t>k,j</t>
    </r>
  </si>
  <si>
    <r>
      <t xml:space="preserve">Rules for use of </t>
    </r>
    <r>
      <rPr>
        <b/>
        <u/>
        <sz val="11"/>
        <color theme="1"/>
        <rFont val="Symbol"/>
        <family val="1"/>
        <charset val="2"/>
      </rPr>
      <t>d</t>
    </r>
    <r>
      <rPr>
        <b/>
        <u/>
        <sz val="11"/>
        <color theme="1"/>
        <rFont val="Calibri"/>
        <family val="2"/>
        <scheme val="minor"/>
      </rPr>
      <t>:</t>
    </r>
  </si>
  <si>
    <t>Use if:</t>
  </si>
  <si>
    <t>1. Stationary data, but with large mean</t>
  </si>
  <si>
    <r>
      <t xml:space="preserve">2. No AR(p) component, but in this case </t>
    </r>
    <r>
      <rPr>
        <sz val="11"/>
        <color theme="1"/>
        <rFont val="Symbol"/>
        <family val="1"/>
        <charset val="2"/>
      </rPr>
      <t>d=m</t>
    </r>
  </si>
  <si>
    <t>3. AR(p) component present</t>
  </si>
  <si>
    <t>No need to use if:</t>
  </si>
  <si>
    <t>1. Nonstationary data</t>
  </si>
  <si>
    <t>2. Twice differenced data</t>
  </si>
  <si>
    <r>
      <t xml:space="preserve">3. Stationary data with </t>
    </r>
    <r>
      <rPr>
        <b/>
        <sz val="11"/>
        <color theme="1"/>
        <rFont val="Calibri"/>
        <family val="2"/>
        <scheme val="minor"/>
      </rPr>
      <t>zero</t>
    </r>
    <r>
      <rPr>
        <sz val="11"/>
        <color theme="1"/>
        <rFont val="Calibri"/>
        <family val="2"/>
        <scheme val="minor"/>
      </rPr>
      <t xml:space="preserve"> mean</t>
    </r>
  </si>
  <si>
    <r>
      <rPr>
        <sz val="11"/>
        <rFont val="Calibri"/>
        <family val="2"/>
        <scheme val="minor"/>
      </rPr>
      <t>Criterion for use of</t>
    </r>
    <r>
      <rPr>
        <sz val="11"/>
        <rFont val="Symbol"/>
        <family val="1"/>
        <charset val="2"/>
      </rPr>
      <t xml:space="preserve"> d</t>
    </r>
  </si>
  <si>
    <r>
      <t xml:space="preserve">Is Residual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 zero</t>
    </r>
  </si>
  <si>
    <t>Diff. Level</t>
  </si>
  <si>
    <t>Autocov.</t>
  </si>
  <si>
    <t>Number of observations</t>
  </si>
  <si>
    <r>
      <t xml:space="preserve">Mean </t>
    </r>
    <r>
      <rPr>
        <sz val="11"/>
        <rFont val="Calibri"/>
        <family val="2"/>
      </rPr>
      <t>μ</t>
    </r>
  </si>
  <si>
    <r>
      <t xml:space="preserve">St. Dev. </t>
    </r>
    <r>
      <rPr>
        <sz val="11"/>
        <rFont val="Calibri"/>
        <family val="2"/>
      </rPr>
      <t>σ</t>
    </r>
  </si>
  <si>
    <t>d</t>
  </si>
  <si>
    <r>
      <t xml:space="preserve">Implied </t>
    </r>
    <r>
      <rPr>
        <sz val="11"/>
        <rFont val="Symbol"/>
        <family val="1"/>
        <charset val="2"/>
      </rPr>
      <t>m</t>
    </r>
  </si>
  <si>
    <r>
      <t xml:space="preserve">Fitted Series </t>
    </r>
    <r>
      <rPr>
        <b/>
        <sz val="11"/>
        <color theme="1"/>
        <rFont val="Calibri"/>
        <family val="2"/>
      </rPr>
      <t>ẑ</t>
    </r>
    <r>
      <rPr>
        <b/>
        <vertAlign val="subscript"/>
        <sz val="8.8000000000000007"/>
        <color theme="1"/>
        <rFont val="Calibri"/>
        <family val="2"/>
      </rPr>
      <t>t</t>
    </r>
  </si>
  <si>
    <r>
      <t xml:space="preserve">Fitted Series </t>
    </r>
    <r>
      <rPr>
        <sz val="11"/>
        <rFont val="Calibri"/>
        <family val="2"/>
      </rPr>
      <t>ẑ</t>
    </r>
    <r>
      <rPr>
        <sz val="11"/>
        <rFont val="Calibri"/>
        <family val="2"/>
        <scheme val="minor"/>
      </rPr>
      <t xml:space="preserve"> Mean </t>
    </r>
    <r>
      <rPr>
        <sz val="11"/>
        <rFont val="Calibri"/>
        <family val="2"/>
      </rPr>
      <t>μ</t>
    </r>
  </si>
  <si>
    <r>
      <t xml:space="preserve">Fitted Series  </t>
    </r>
    <r>
      <rPr>
        <sz val="11"/>
        <rFont val="Calibri"/>
        <family val="2"/>
      </rPr>
      <t>ẑ</t>
    </r>
    <r>
      <rPr>
        <sz val="11"/>
        <rFont val="Calibri"/>
        <family val="2"/>
        <scheme val="minor"/>
      </rPr>
      <t xml:space="preserve"> St. Dev. </t>
    </r>
    <r>
      <rPr>
        <sz val="11"/>
        <rFont val="Calibri"/>
        <family val="2"/>
      </rPr>
      <t>σ</t>
    </r>
  </si>
  <si>
    <t>R-Squared</t>
  </si>
  <si>
    <r>
      <t>d</t>
    </r>
    <r>
      <rPr>
        <vertAlign val="subscript"/>
        <sz val="11"/>
        <color theme="1"/>
        <rFont val="Calibri"/>
        <family val="2"/>
        <scheme val="minor"/>
      </rPr>
      <t>L</t>
    </r>
  </si>
  <si>
    <r>
      <t>d</t>
    </r>
    <r>
      <rPr>
        <vertAlign val="subscript"/>
        <sz val="11"/>
        <color theme="1"/>
        <rFont val="Calibri"/>
        <family val="2"/>
        <scheme val="minor"/>
      </rPr>
      <t>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</si>
</sst>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ymbol"/>
      <family val="1"/>
      <charset val="2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1"/>
      <charset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Symbol"/>
      <family val="2"/>
      <charset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Symbol"/>
      <family val="1"/>
      <charset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vertAlign val="subscript"/>
      <sz val="8.8000000000000007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2" fontId="1" fillId="0" borderId="0" xfId="0" applyNumberFormat="1" applyFont="1"/>
    <xf numFmtId="164" fontId="0" fillId="0" borderId="0" xfId="0" applyNumberFormat="1"/>
    <xf numFmtId="0" fontId="1" fillId="0" borderId="0" xfId="0" quotePrefix="1" applyFont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0" xfId="0" quotePrefix="1"/>
    <xf numFmtId="0" fontId="6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quotePrefix="1" applyNumberFormat="1"/>
    <xf numFmtId="2" fontId="16" fillId="0" borderId="0" xfId="0" applyNumberFormat="1" applyFont="1"/>
    <xf numFmtId="0" fontId="16" fillId="0" borderId="0" xfId="0" applyFont="1"/>
    <xf numFmtId="0" fontId="1" fillId="4" borderId="5" xfId="0" applyFont="1" applyFill="1" applyBorder="1" applyAlignment="1">
      <alignment horizontal="left" vertical="top"/>
    </xf>
    <xf numFmtId="0" fontId="0" fillId="0" borderId="0" xfId="0" applyFill="1"/>
    <xf numFmtId="0" fontId="12" fillId="6" borderId="2" xfId="0" applyFont="1" applyFill="1" applyBorder="1" applyAlignment="1">
      <alignment vertical="top"/>
    </xf>
    <xf numFmtId="0" fontId="12" fillId="6" borderId="3" xfId="0" applyFont="1" applyFill="1" applyBorder="1" applyAlignment="1">
      <alignment vertical="top"/>
    </xf>
    <xf numFmtId="0" fontId="12" fillId="6" borderId="4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" fillId="5" borderId="5" xfId="0" applyFont="1" applyFill="1" applyBorder="1" applyAlignment="1">
      <alignment horizontal="right" vertical="top"/>
    </xf>
    <xf numFmtId="2" fontId="1" fillId="5" borderId="6" xfId="0" applyNumberFormat="1" applyFont="1" applyFill="1" applyBorder="1" applyAlignment="1">
      <alignment vertical="top"/>
    </xf>
    <xf numFmtId="2" fontId="15" fillId="0" borderId="0" xfId="0" applyNumberFormat="1" applyFont="1" applyFill="1" applyBorder="1" applyAlignment="1">
      <alignment vertical="top"/>
    </xf>
    <xf numFmtId="0" fontId="13" fillId="5" borderId="5" xfId="0" applyFont="1" applyFill="1" applyBorder="1" applyAlignment="1">
      <alignment horizontal="right" vertical="top"/>
    </xf>
    <xf numFmtId="0" fontId="11" fillId="5" borderId="6" xfId="0" quotePrefix="1" applyFont="1" applyFill="1" applyBorder="1" applyAlignment="1">
      <alignment vertical="top"/>
    </xf>
    <xf numFmtId="0" fontId="18" fillId="0" borderId="0" xfId="0" quotePrefix="1" applyFont="1" applyFill="1" applyBorder="1" applyAlignment="1">
      <alignment vertical="top"/>
    </xf>
    <xf numFmtId="164" fontId="18" fillId="0" borderId="0" xfId="0" quotePrefix="1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" fillId="5" borderId="7" xfId="0" applyFont="1" applyFill="1" applyBorder="1" applyAlignment="1">
      <alignment horizontal="right" vertical="top"/>
    </xf>
    <xf numFmtId="164" fontId="1" fillId="5" borderId="8" xfId="0" applyNumberFormat="1" applyFont="1" applyFill="1" applyBorder="1" applyAlignment="1">
      <alignment vertical="top"/>
    </xf>
    <xf numFmtId="164" fontId="15" fillId="0" borderId="0" xfId="0" applyNumberFormat="1" applyFont="1" applyFill="1" applyBorder="1" applyAlignment="1">
      <alignment vertical="top"/>
    </xf>
    <xf numFmtId="2" fontId="2" fillId="2" borderId="2" xfId="0" applyNumberFormat="1" applyFont="1" applyFill="1" applyBorder="1" applyAlignment="1">
      <alignment vertical="top"/>
    </xf>
    <xf numFmtId="0" fontId="17" fillId="2" borderId="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164" fontId="11" fillId="0" borderId="0" xfId="0" quotePrefix="1" applyNumberFormat="1" applyFont="1" applyFill="1" applyBorder="1" applyAlignment="1">
      <alignment vertical="top"/>
    </xf>
    <xf numFmtId="164" fontId="11" fillId="0" borderId="6" xfId="0" quotePrefix="1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1" fillId="8" borderId="5" xfId="0" quotePrefix="1" applyFont="1" applyFill="1" applyBorder="1" applyAlignment="1">
      <alignment horizontal="center" vertical="top"/>
    </xf>
    <xf numFmtId="2" fontId="1" fillId="8" borderId="0" xfId="0" applyNumberFormat="1" applyFont="1" applyFill="1" applyBorder="1" applyAlignment="1">
      <alignment vertical="top"/>
    </xf>
    <xf numFmtId="0" fontId="1" fillId="8" borderId="6" xfId="0" applyFont="1" applyFill="1" applyBorder="1" applyAlignment="1">
      <alignment vertical="top"/>
    </xf>
    <xf numFmtId="0" fontId="1" fillId="8" borderId="5" xfId="0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vertical="top"/>
    </xf>
    <xf numFmtId="2" fontId="0" fillId="8" borderId="0" xfId="0" applyNumberFormat="1" applyFill="1" applyBorder="1" applyAlignment="1">
      <alignment vertical="top"/>
    </xf>
    <xf numFmtId="164" fontId="0" fillId="8" borderId="6" xfId="0" applyNumberFormat="1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 applyFont="1" applyAlignment="1">
      <alignment vertical="top"/>
    </xf>
    <xf numFmtId="0" fontId="0" fillId="8" borderId="6" xfId="0" applyFill="1" applyBorder="1" applyAlignment="1">
      <alignment vertical="top"/>
    </xf>
    <xf numFmtId="1" fontId="1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1" fillId="8" borderId="7" xfId="0" applyFont="1" applyFill="1" applyBorder="1" applyAlignment="1">
      <alignment horizontal="center" vertical="top"/>
    </xf>
    <xf numFmtId="2" fontId="0" fillId="8" borderId="1" xfId="0" applyNumberFormat="1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164" fontId="17" fillId="3" borderId="3" xfId="0" quotePrefix="1" applyNumberFormat="1" applyFont="1" applyFill="1" applyBorder="1" applyAlignment="1">
      <alignment horizontal="left" vertical="top"/>
    </xf>
    <xf numFmtId="164" fontId="17" fillId="3" borderId="4" xfId="0" quotePrefix="1" applyNumberFormat="1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vertical="top"/>
    </xf>
    <xf numFmtId="165" fontId="0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2" fontId="19" fillId="0" borderId="0" xfId="0" applyNumberFormat="1" applyFont="1" applyFill="1" applyBorder="1" applyAlignment="1">
      <alignment vertical="top"/>
    </xf>
    <xf numFmtId="2" fontId="0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quotePrefix="1" applyFill="1" applyBorder="1" applyAlignment="1">
      <alignment vertical="top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quotePrefix="1" applyNumberFormat="1" applyFont="1"/>
    <xf numFmtId="0" fontId="1" fillId="0" borderId="1" xfId="0" applyFont="1" applyBorder="1" applyAlignment="1">
      <alignment horizontal="center"/>
    </xf>
    <xf numFmtId="164" fontId="11" fillId="0" borderId="0" xfId="0" quotePrefix="1" applyNumberFormat="1" applyFont="1" applyFill="1"/>
    <xf numFmtId="164" fontId="2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1" fillId="0" borderId="0" xfId="0" applyFont="1" applyAlignment="1">
      <alignment horizontal="center" vertical="center"/>
    </xf>
    <xf numFmtId="2" fontId="1" fillId="5" borderId="0" xfId="0" applyNumberFormat="1" applyFont="1" applyFill="1" applyBorder="1" applyAlignment="1">
      <alignment vertical="top"/>
    </xf>
    <xf numFmtId="2" fontId="1" fillId="5" borderId="6" xfId="0" quotePrefix="1" applyNumberFormat="1" applyFont="1" applyFill="1" applyBorder="1" applyAlignment="1">
      <alignment vertical="top"/>
    </xf>
    <xf numFmtId="2" fontId="1" fillId="5" borderId="1" xfId="0" applyNumberFormat="1" applyFont="1" applyFill="1" applyBorder="1" applyAlignment="1">
      <alignment vertical="top"/>
    </xf>
    <xf numFmtId="0" fontId="21" fillId="0" borderId="0" xfId="0" applyFont="1"/>
    <xf numFmtId="0" fontId="1" fillId="4" borderId="6" xfId="0" quotePrefix="1" applyFont="1" applyFill="1" applyBorder="1" applyAlignment="1">
      <alignment horizontal="left" vertical="top"/>
    </xf>
    <xf numFmtId="0" fontId="0" fillId="4" borderId="8" xfId="0" quotePrefix="1" applyFill="1" applyBorder="1" applyAlignment="1">
      <alignment horizontal="left" vertical="top"/>
    </xf>
    <xf numFmtId="2" fontId="0" fillId="4" borderId="0" xfId="0" applyNumberFormat="1" applyFill="1" applyBorder="1" applyAlignment="1">
      <alignment vertical="top"/>
    </xf>
    <xf numFmtId="2" fontId="1" fillId="4" borderId="0" xfId="0" quotePrefix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vertical="top"/>
    </xf>
    <xf numFmtId="2" fontId="0" fillId="4" borderId="0" xfId="0" quotePrefix="1" applyNumberFormat="1" applyFill="1" applyBorder="1" applyAlignment="1">
      <alignment vertical="top"/>
    </xf>
    <xf numFmtId="2" fontId="1" fillId="4" borderId="0" xfId="0" quotePrefix="1" applyNumberFormat="1" applyFont="1" applyFill="1" applyBorder="1" applyAlignment="1">
      <alignment vertical="top"/>
    </xf>
    <xf numFmtId="2" fontId="0" fillId="4" borderId="1" xfId="0" quotePrefix="1" applyNumberFormat="1" applyFill="1" applyBorder="1" applyAlignment="1">
      <alignment vertical="top"/>
    </xf>
    <xf numFmtId="0" fontId="12" fillId="0" borderId="0" xfId="0" applyFont="1"/>
    <xf numFmtId="2" fontId="1" fillId="0" borderId="0" xfId="0" quotePrefix="1" applyNumberFormat="1" applyFont="1"/>
    <xf numFmtId="1" fontId="1" fillId="0" borderId="0" xfId="0" applyNumberFormat="1" applyFont="1" applyFill="1" applyAlignment="1">
      <alignment horizontal="right" vertical="top"/>
    </xf>
    <xf numFmtId="165" fontId="1" fillId="0" borderId="0" xfId="0" applyNumberFormat="1" applyFont="1" applyAlignment="1">
      <alignment horizontal="center" vertical="center"/>
    </xf>
    <xf numFmtId="164" fontId="1" fillId="9" borderId="0" xfId="0" applyNumberFormat="1" applyFont="1" applyFill="1"/>
    <xf numFmtId="164" fontId="0" fillId="9" borderId="0" xfId="0" applyNumberFormat="1" applyFill="1"/>
    <xf numFmtId="164" fontId="1" fillId="9" borderId="0" xfId="0" quotePrefix="1" applyNumberFormat="1" applyFont="1" applyFill="1" applyAlignment="1">
      <alignment horizontal="center"/>
    </xf>
    <xf numFmtId="164" fontId="0" fillId="8" borderId="0" xfId="0" applyNumberFormat="1" applyFill="1"/>
    <xf numFmtId="164" fontId="1" fillId="8" borderId="0" xfId="0" applyNumberFormat="1" applyFont="1" applyFill="1"/>
    <xf numFmtId="164" fontId="1" fillId="8" borderId="0" xfId="0" quotePrefix="1" applyNumberFormat="1" applyFont="1" applyFill="1" applyAlignment="1">
      <alignment horizontal="center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9" borderId="0" xfId="0" quotePrefix="1" applyFont="1" applyFill="1" applyBorder="1" applyAlignment="1">
      <alignment horizontal="center"/>
    </xf>
    <xf numFmtId="0" fontId="2" fillId="9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10" borderId="0" xfId="0" applyNumberFormat="1" applyFont="1" applyFill="1"/>
    <xf numFmtId="0" fontId="2" fillId="0" borderId="0" xfId="0" quotePrefix="1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8" borderId="0" xfId="0" quotePrefix="1" applyFont="1" applyFill="1" applyBorder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9" borderId="1" xfId="0" quotePrefix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vertical="top"/>
    </xf>
    <xf numFmtId="0" fontId="0" fillId="5" borderId="0" xfId="0" applyFont="1" applyFill="1" applyBorder="1" applyAlignment="1">
      <alignment vertical="top"/>
    </xf>
    <xf numFmtId="0" fontId="0" fillId="5" borderId="6" xfId="0" applyFont="1" applyFill="1" applyBorder="1" applyAlignment="1">
      <alignment vertical="top"/>
    </xf>
    <xf numFmtId="0" fontId="3" fillId="5" borderId="5" xfId="0" applyFont="1" applyFill="1" applyBorder="1" applyAlignment="1">
      <alignment horizontal="right" vertical="top"/>
    </xf>
    <xf numFmtId="2" fontId="1" fillId="5" borderId="0" xfId="0" quotePrefix="1" applyNumberFormat="1" applyFont="1" applyFill="1" applyBorder="1" applyAlignment="1">
      <alignment vertical="top"/>
    </xf>
    <xf numFmtId="164" fontId="1" fillId="5" borderId="6" xfId="0" quotePrefix="1" applyNumberFormat="1" applyFont="1" applyFill="1" applyBorder="1" applyAlignment="1">
      <alignment vertical="top"/>
    </xf>
    <xf numFmtId="0" fontId="12" fillId="11" borderId="2" xfId="0" applyFont="1" applyFill="1" applyBorder="1" applyAlignment="1">
      <alignment vertical="top"/>
    </xf>
    <xf numFmtId="0" fontId="12" fillId="11" borderId="3" xfId="0" applyFont="1" applyFill="1" applyBorder="1" applyAlignment="1">
      <alignment vertical="top"/>
    </xf>
    <xf numFmtId="0" fontId="12" fillId="11" borderId="4" xfId="0" applyFont="1" applyFill="1" applyBorder="1" applyAlignment="1">
      <alignment vertical="top"/>
    </xf>
    <xf numFmtId="0" fontId="1" fillId="7" borderId="5" xfId="0" applyFont="1" applyFill="1" applyBorder="1" applyAlignment="1">
      <alignment horizontal="left" vertical="top"/>
    </xf>
    <xf numFmtId="2" fontId="1" fillId="7" borderId="0" xfId="0" applyNumberFormat="1" applyFont="1" applyFill="1" applyBorder="1" applyAlignment="1">
      <alignment vertical="top"/>
    </xf>
    <xf numFmtId="2" fontId="1" fillId="7" borderId="6" xfId="0" applyNumberFormat="1" applyFont="1" applyFill="1" applyBorder="1" applyAlignment="1">
      <alignment vertical="top"/>
    </xf>
    <xf numFmtId="0" fontId="0" fillId="7" borderId="7" xfId="0" applyFill="1" applyBorder="1" applyAlignment="1">
      <alignment vertical="top"/>
    </xf>
    <xf numFmtId="2" fontId="0" fillId="7" borderId="1" xfId="0" applyNumberFormat="1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6" fillId="8" borderId="5" xfId="0" applyFont="1" applyFill="1" applyBorder="1" applyAlignment="1">
      <alignment horizontal="center" vertical="top"/>
    </xf>
    <xf numFmtId="2" fontId="0" fillId="8" borderId="0" xfId="0" applyNumberFormat="1" applyFont="1" applyFill="1" applyBorder="1" applyAlignment="1">
      <alignment vertical="top"/>
    </xf>
    <xf numFmtId="0" fontId="6" fillId="8" borderId="6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 vertical="top"/>
    </xf>
    <xf numFmtId="2" fontId="1" fillId="8" borderId="1" xfId="0" applyNumberFormat="1" applyFont="1" applyFill="1" applyBorder="1" applyAlignment="1">
      <alignment vertical="top"/>
    </xf>
    <xf numFmtId="2" fontId="0" fillId="8" borderId="1" xfId="0" applyNumberFormat="1" applyFont="1" applyFill="1" applyBorder="1" applyAlignment="1">
      <alignment vertical="top"/>
    </xf>
    <xf numFmtId="0" fontId="6" fillId="8" borderId="8" xfId="0" applyFont="1" applyFill="1" applyBorder="1" applyAlignment="1">
      <alignment horizontal="center" vertical="top"/>
    </xf>
    <xf numFmtId="2" fontId="0" fillId="4" borderId="0" xfId="0" quotePrefix="1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ACF_PACF'!$E$1</c:f>
              <c:strCache>
                <c:ptCount val="1"/>
                <c:pt idx="0">
                  <c:v>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ACF_PACF'!$E$3:$E$22</c:f>
              <c:numCache>
                <c:formatCode>0.000</c:formatCode>
                <c:ptCount val="20"/>
                <c:pt idx="0">
                  <c:v>0.70808340042279849</c:v>
                </c:pt>
                <c:pt idx="1">
                  <c:v>0.50615267207282055</c:v>
                </c:pt>
                <c:pt idx="2">
                  <c:v>0.42260799437076468</c:v>
                </c:pt>
                <c:pt idx="3">
                  <c:v>0.21860080478153993</c:v>
                </c:pt>
                <c:pt idx="4">
                  <c:v>0.14519652398194871</c:v>
                </c:pt>
                <c:pt idx="5">
                  <c:v>0.1449890994922588</c:v>
                </c:pt>
                <c:pt idx="6">
                  <c:v>7.2395046834013658E-3</c:v>
                </c:pt>
                <c:pt idx="7">
                  <c:v>1.918342041672674E-2</c:v>
                </c:pt>
                <c:pt idx="8">
                  <c:v>-1.0450279107167906E-2</c:v>
                </c:pt>
                <c:pt idx="9">
                  <c:v>-7.6563766708723974E-2</c:v>
                </c:pt>
                <c:pt idx="10">
                  <c:v>-1.3441714946414085E-2</c:v>
                </c:pt>
                <c:pt idx="11">
                  <c:v>2.8666164819956715E-2</c:v>
                </c:pt>
                <c:pt idx="12">
                  <c:v>-8.9884578915821276E-3</c:v>
                </c:pt>
                <c:pt idx="13">
                  <c:v>1.3919719031007579E-2</c:v>
                </c:pt>
                <c:pt idx="14">
                  <c:v>3.0127386432288111E-2</c:v>
                </c:pt>
                <c:pt idx="15">
                  <c:v>5.9034575083897506E-2</c:v>
                </c:pt>
                <c:pt idx="16">
                  <c:v>9.7326047086195647E-2</c:v>
                </c:pt>
                <c:pt idx="17">
                  <c:v>8.8940196934404414E-2</c:v>
                </c:pt>
                <c:pt idx="18">
                  <c:v>-1.1033724233110049E-2</c:v>
                </c:pt>
                <c:pt idx="19">
                  <c:v>-1.3151585513013913E-2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F-4372-B01D-8E9635BC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ACF_PACF'!$G$1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ACF_PACF'!$G$3:$G$22</c:f>
              <c:numCache>
                <c:formatCode>0.000</c:formatCode>
                <c:ptCount val="20"/>
                <c:pt idx="0">
                  <c:v>0.39227079844758717</c:v>
                </c:pt>
                <c:pt idx="1">
                  <c:v>0.43959485952890737</c:v>
                </c:pt>
                <c:pt idx="2">
                  <c:v>0.46977404074948181</c:v>
                </c:pt>
                <c:pt idx="3">
                  <c:v>0.47752558589712119</c:v>
                </c:pt>
                <c:pt idx="4">
                  <c:v>0.48090563973911454</c:v>
                </c:pt>
                <c:pt idx="5">
                  <c:v>0.48425255208064244</c:v>
                </c:pt>
                <c:pt idx="6">
                  <c:v>0.48426086750080566</c:v>
                </c:pt>
                <c:pt idx="7">
                  <c:v>0.48431925080542193</c:v>
                </c:pt>
                <c:pt idx="8">
                  <c:v>0.48433657521404627</c:v>
                </c:pt>
                <c:pt idx="9">
                  <c:v>0.4852655953722364</c:v>
                </c:pt>
                <c:pt idx="10">
                  <c:v>0.48529420150821856</c:v>
                </c:pt>
                <c:pt idx="11">
                  <c:v>0.4854242837525522</c:v>
                </c:pt>
                <c:pt idx="12">
                  <c:v>0.48543707124222768</c:v>
                </c:pt>
                <c:pt idx="13">
                  <c:v>0.48546773719202635</c:v>
                </c:pt>
                <c:pt idx="14">
                  <c:v>0.48561136563143015</c:v>
                </c:pt>
                <c:pt idx="15">
                  <c:v>0.48616245219649545</c:v>
                </c:pt>
                <c:pt idx="16">
                  <c:v>0.48765714448464381</c:v>
                </c:pt>
                <c:pt idx="17">
                  <c:v>0.48890185918602252</c:v>
                </c:pt>
                <c:pt idx="18">
                  <c:v>0.48892099100235753</c:v>
                </c:pt>
                <c:pt idx="19">
                  <c:v>0.48894817088704567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F-4372-B01D-8E9635BC3DE1}"/>
            </c:ext>
          </c:extLst>
        </c:ser>
        <c:ser>
          <c:idx val="1"/>
          <c:order val="2"/>
          <c:tx>
            <c:strRef>
              <c:f>'1. ACF_PACF'!$F$1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ACF_PACF'!$F$3:$F$22</c:f>
              <c:numCache>
                <c:formatCode>0.000</c:formatCode>
                <c:ptCount val="20"/>
                <c:pt idx="0">
                  <c:v>-0.39227079844758717</c:v>
                </c:pt>
                <c:pt idx="1">
                  <c:v>-0.43959485952890737</c:v>
                </c:pt>
                <c:pt idx="2">
                  <c:v>-0.46977404074948181</c:v>
                </c:pt>
                <c:pt idx="3">
                  <c:v>-0.47752558589712119</c:v>
                </c:pt>
                <c:pt idx="4">
                  <c:v>-0.48090563973911454</c:v>
                </c:pt>
                <c:pt idx="5">
                  <c:v>-0.48425255208064244</c:v>
                </c:pt>
                <c:pt idx="6">
                  <c:v>-0.48426086750080566</c:v>
                </c:pt>
                <c:pt idx="7">
                  <c:v>-0.48431925080542193</c:v>
                </c:pt>
                <c:pt idx="8">
                  <c:v>-0.48433657521404627</c:v>
                </c:pt>
                <c:pt idx="9">
                  <c:v>-0.4852655953722364</c:v>
                </c:pt>
                <c:pt idx="10">
                  <c:v>-0.48529420150821856</c:v>
                </c:pt>
                <c:pt idx="11">
                  <c:v>-0.4854242837525522</c:v>
                </c:pt>
                <c:pt idx="12">
                  <c:v>-0.48543707124222768</c:v>
                </c:pt>
                <c:pt idx="13">
                  <c:v>-0.48546773719202635</c:v>
                </c:pt>
                <c:pt idx="14">
                  <c:v>-0.48561136563143015</c:v>
                </c:pt>
                <c:pt idx="15">
                  <c:v>-0.48616245219649545</c:v>
                </c:pt>
                <c:pt idx="16">
                  <c:v>-0.48765714448464381</c:v>
                </c:pt>
                <c:pt idx="17">
                  <c:v>-0.48890185918602252</c:v>
                </c:pt>
                <c:pt idx="18">
                  <c:v>-0.48892099100235753</c:v>
                </c:pt>
                <c:pt idx="19">
                  <c:v>-0.48894817088704567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F-4372-B01D-8E9635BC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ACF_PACF'!$T$1</c:f>
              <c:strCache>
                <c:ptCount val="1"/>
                <c:pt idx="0">
                  <c:v>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ACF_PACF'!$T$3:$T$22</c:f>
              <c:numCache>
                <c:formatCode>0.000</c:formatCode>
                <c:ptCount val="20"/>
                <c:pt idx="1">
                  <c:v>-0.14775995664735794</c:v>
                </c:pt>
                <c:pt idx="2">
                  <c:v>-0.20736815845039902</c:v>
                </c:pt>
                <c:pt idx="3">
                  <c:v>0.19019261541793583</c:v>
                </c:pt>
                <c:pt idx="4">
                  <c:v>-0.21219808837982135</c:v>
                </c:pt>
                <c:pt idx="5">
                  <c:v>-0.11172781109599152</c:v>
                </c:pt>
                <c:pt idx="6">
                  <c:v>0.24486771824525294</c:v>
                </c:pt>
                <c:pt idx="7">
                  <c:v>-0.24717810932101456</c:v>
                </c:pt>
                <c:pt idx="8">
                  <c:v>4.7059199572631501E-2</c:v>
                </c:pt>
                <c:pt idx="9">
                  <c:v>6.467977371630633E-2</c:v>
                </c:pt>
                <c:pt idx="10">
                  <c:v>-0.20466285631481446</c:v>
                </c:pt>
                <c:pt idx="11">
                  <c:v>1.1682551443435385E-2</c:v>
                </c:pt>
                <c:pt idx="12">
                  <c:v>0.14597368325436191</c:v>
                </c:pt>
                <c:pt idx="13">
                  <c:v>-0.10285272346124281</c:v>
                </c:pt>
                <c:pt idx="14">
                  <c:v>-1.0360626390901852E-2</c:v>
                </c:pt>
                <c:pt idx="15">
                  <c:v>-1.1296492353172063E-2</c:v>
                </c:pt>
                <c:pt idx="16">
                  <c:v>-2.1194584259988214E-2</c:v>
                </c:pt>
                <c:pt idx="17">
                  <c:v>5.9117195598321709E-2</c:v>
                </c:pt>
                <c:pt idx="18">
                  <c:v>0.17107451331661525</c:v>
                </c:pt>
                <c:pt idx="19">
                  <c:v>-0.15555016171783487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B-4BCA-BC26-CD75331D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ACF_PACF'!$V$1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ACF_PACF'!$V$3:$V$22</c:f>
              <c:numCache>
                <c:formatCode>0.000</c:formatCode>
                <c:ptCount val="20"/>
                <c:pt idx="1">
                  <c:v>0.28604792457003719</c:v>
                </c:pt>
                <c:pt idx="2">
                  <c:v>0.29760050181919739</c:v>
                </c:pt>
                <c:pt idx="3">
                  <c:v>0.30698211885627807</c:v>
                </c:pt>
                <c:pt idx="4">
                  <c:v>0.31827412115900899</c:v>
                </c:pt>
                <c:pt idx="5">
                  <c:v>0.32133435370504104</c:v>
                </c:pt>
                <c:pt idx="6">
                  <c:v>0.33564494058903172</c:v>
                </c:pt>
                <c:pt idx="7">
                  <c:v>0.34962485398307769</c:v>
                </c:pt>
                <c:pt idx="8">
                  <c:v>0.35012109737424985</c:v>
                </c:pt>
                <c:pt idx="9">
                  <c:v>0.35105662137754673</c:v>
                </c:pt>
                <c:pt idx="10">
                  <c:v>0.36028962647097201</c:v>
                </c:pt>
                <c:pt idx="11">
                  <c:v>0.36031932410222289</c:v>
                </c:pt>
                <c:pt idx="12">
                  <c:v>0.36492623816613801</c:v>
                </c:pt>
                <c:pt idx="13">
                  <c:v>0.36719190725439083</c:v>
                </c:pt>
                <c:pt idx="14">
                  <c:v>0.36721482550346135</c:v>
                </c:pt>
                <c:pt idx="15">
                  <c:v>0.36724206925880493</c:v>
                </c:pt>
                <c:pt idx="16">
                  <c:v>0.36733795560017374</c:v>
                </c:pt>
                <c:pt idx="17">
                  <c:v>0.36808309520809501</c:v>
                </c:pt>
                <c:pt idx="18">
                  <c:v>0.37426481329384065</c:v>
                </c:pt>
                <c:pt idx="19">
                  <c:v>0.37929943341712369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B-4BCA-BC26-CD75331D36B5}"/>
            </c:ext>
          </c:extLst>
        </c:ser>
        <c:ser>
          <c:idx val="1"/>
          <c:order val="2"/>
          <c:tx>
            <c:strRef>
              <c:f>'1. ACF_PACF'!$U$1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ACF_PACF'!$U$3:$U$22</c:f>
              <c:numCache>
                <c:formatCode>0.000</c:formatCode>
                <c:ptCount val="20"/>
                <c:pt idx="1">
                  <c:v>-0.28604792457003719</c:v>
                </c:pt>
                <c:pt idx="2">
                  <c:v>-0.29760050181919739</c:v>
                </c:pt>
                <c:pt idx="3">
                  <c:v>-0.30698211885627807</c:v>
                </c:pt>
                <c:pt idx="4">
                  <c:v>-0.31827412115900899</c:v>
                </c:pt>
                <c:pt idx="5">
                  <c:v>-0.32133435370504104</c:v>
                </c:pt>
                <c:pt idx="6">
                  <c:v>-0.33564494058903172</c:v>
                </c:pt>
                <c:pt idx="7">
                  <c:v>-0.34962485398307769</c:v>
                </c:pt>
                <c:pt idx="8">
                  <c:v>-0.35012109737424985</c:v>
                </c:pt>
                <c:pt idx="9">
                  <c:v>-0.35105662137754673</c:v>
                </c:pt>
                <c:pt idx="10">
                  <c:v>-0.36028962647097201</c:v>
                </c:pt>
                <c:pt idx="11">
                  <c:v>-0.36031932410222289</c:v>
                </c:pt>
                <c:pt idx="12">
                  <c:v>-0.36492623816613801</c:v>
                </c:pt>
                <c:pt idx="13">
                  <c:v>-0.36719190725439083</c:v>
                </c:pt>
                <c:pt idx="14">
                  <c:v>-0.36721482550346135</c:v>
                </c:pt>
                <c:pt idx="15">
                  <c:v>-0.36724206925880493</c:v>
                </c:pt>
                <c:pt idx="16">
                  <c:v>-0.36733795560017374</c:v>
                </c:pt>
                <c:pt idx="17">
                  <c:v>-0.36808309520809501</c:v>
                </c:pt>
                <c:pt idx="18">
                  <c:v>-0.37426481329384065</c:v>
                </c:pt>
                <c:pt idx="19">
                  <c:v>-0.37929943341712369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B-4BCA-BC26-CD75331D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4458059928868"/>
          <c:y val="0.25549019607843138"/>
          <c:w val="0.638944885331721"/>
          <c:h val="0.68568627450980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ACF_PACF'!$J$1</c:f>
              <c:strCache>
                <c:ptCount val="1"/>
                <c:pt idx="0">
                  <c:v>PACF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ACF_PACF'!$J$3:$J$22</c:f>
              <c:numCache>
                <c:formatCode>0.000</c:formatCode>
                <c:ptCount val="20"/>
                <c:pt idx="0">
                  <c:v>0.70808340042279849</c:v>
                </c:pt>
                <c:pt idx="1">
                  <c:v>9.5675869983917663E-3</c:v>
                </c:pt>
                <c:pt idx="2">
                  <c:v>0.12207668194649815</c:v>
                </c:pt>
                <c:pt idx="3">
                  <c:v>-0.25498510757379067</c:v>
                </c:pt>
                <c:pt idx="4">
                  <c:v>0.11775232620835639</c:v>
                </c:pt>
                <c:pt idx="5">
                  <c:v>4.5342608281006509E-2</c:v>
                </c:pt>
                <c:pt idx="6">
                  <c:v>-0.18429625643271699</c:v>
                </c:pt>
                <c:pt idx="7">
                  <c:v>0.15120379611590021</c:v>
                </c:pt>
                <c:pt idx="8">
                  <c:v>-0.16056467700472077</c:v>
                </c:pt>
                <c:pt idx="9">
                  <c:v>6.1712181103150306E-2</c:v>
                </c:pt>
                <c:pt idx="10">
                  <c:v>5.7630126988092459E-2</c:v>
                </c:pt>
                <c:pt idx="11">
                  <c:v>4.9158830755738896E-2</c:v>
                </c:pt>
                <c:pt idx="12">
                  <c:v>-4.7960665210238222E-2</c:v>
                </c:pt>
                <c:pt idx="13">
                  <c:v>-5.372183300272431E-2</c:v>
                </c:pt>
                <c:pt idx="14">
                  <c:v>0.10442496575142324</c:v>
                </c:pt>
                <c:pt idx="15">
                  <c:v>6.6177400349948456E-2</c:v>
                </c:pt>
                <c:pt idx="16">
                  <c:v>-2.608068429162334E-3</c:v>
                </c:pt>
                <c:pt idx="17">
                  <c:v>2.1199531290187666E-2</c:v>
                </c:pt>
                <c:pt idx="18">
                  <c:v>-1.4498822102356673E-2</c:v>
                </c:pt>
                <c:pt idx="19">
                  <c:v>-5.5157030994916596E-2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F-469E-B536-85EAC8B9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ACF_PACF'!$L$1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'1. ACF_PACF'!$L$3:$L$22</c:f>
              <c:numCache>
                <c:formatCode>0.000</c:formatCode>
                <c:ptCount val="20"/>
                <c:pt idx="0">
                  <c:v>0.27718585822512665</c:v>
                </c:pt>
                <c:pt idx="1">
                  <c:v>0.27718585822512665</c:v>
                </c:pt>
                <c:pt idx="2">
                  <c:v>0.27718585822512665</c:v>
                </c:pt>
                <c:pt idx="3">
                  <c:v>0.27718585822512665</c:v>
                </c:pt>
                <c:pt idx="4">
                  <c:v>0.27718585822512665</c:v>
                </c:pt>
                <c:pt idx="5">
                  <c:v>0.27718585822512665</c:v>
                </c:pt>
                <c:pt idx="6">
                  <c:v>0.27718585822512665</c:v>
                </c:pt>
                <c:pt idx="7">
                  <c:v>0.27718585822512665</c:v>
                </c:pt>
                <c:pt idx="8">
                  <c:v>0.27718585822512665</c:v>
                </c:pt>
                <c:pt idx="9">
                  <c:v>0.27718585822512665</c:v>
                </c:pt>
                <c:pt idx="10">
                  <c:v>0.27718585822512665</c:v>
                </c:pt>
                <c:pt idx="11">
                  <c:v>0.27718585822512665</c:v>
                </c:pt>
                <c:pt idx="12">
                  <c:v>0.27718585822512665</c:v>
                </c:pt>
                <c:pt idx="13">
                  <c:v>0.27718585822512665</c:v>
                </c:pt>
                <c:pt idx="14">
                  <c:v>0.27718585822512665</c:v>
                </c:pt>
                <c:pt idx="15">
                  <c:v>0.27718585822512665</c:v>
                </c:pt>
                <c:pt idx="16">
                  <c:v>0.27718585822512665</c:v>
                </c:pt>
                <c:pt idx="17">
                  <c:v>0.27718585822512665</c:v>
                </c:pt>
                <c:pt idx="18">
                  <c:v>0.27718585822512665</c:v>
                </c:pt>
                <c:pt idx="19">
                  <c:v>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69E-B536-85EAC8B9B68D}"/>
            </c:ext>
          </c:extLst>
        </c:ser>
        <c:ser>
          <c:idx val="1"/>
          <c:order val="2"/>
          <c:tx>
            <c:strRef>
              <c:f>'1. ACF_PACF'!$K$1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ACF_PACF'!$K$3:$K$22</c:f>
              <c:numCache>
                <c:formatCode>0.000</c:formatCode>
                <c:ptCount val="20"/>
                <c:pt idx="0">
                  <c:v>-0.27718585822512665</c:v>
                </c:pt>
                <c:pt idx="1">
                  <c:v>-0.27718585822512665</c:v>
                </c:pt>
                <c:pt idx="2">
                  <c:v>-0.27718585822512665</c:v>
                </c:pt>
                <c:pt idx="3">
                  <c:v>-0.27718585822512665</c:v>
                </c:pt>
                <c:pt idx="4">
                  <c:v>-0.27718585822512665</c:v>
                </c:pt>
                <c:pt idx="5">
                  <c:v>-0.27718585822512665</c:v>
                </c:pt>
                <c:pt idx="6">
                  <c:v>-0.27718585822512665</c:v>
                </c:pt>
                <c:pt idx="7">
                  <c:v>-0.27718585822512665</c:v>
                </c:pt>
                <c:pt idx="8">
                  <c:v>-0.27718585822512665</c:v>
                </c:pt>
                <c:pt idx="9">
                  <c:v>-0.27718585822512665</c:v>
                </c:pt>
                <c:pt idx="10">
                  <c:v>-0.27718585822512665</c:v>
                </c:pt>
                <c:pt idx="11">
                  <c:v>-0.27718585822512665</c:v>
                </c:pt>
                <c:pt idx="12">
                  <c:v>-0.27718585822512665</c:v>
                </c:pt>
                <c:pt idx="13">
                  <c:v>-0.27718585822512665</c:v>
                </c:pt>
                <c:pt idx="14">
                  <c:v>-0.27718585822512665</c:v>
                </c:pt>
                <c:pt idx="15">
                  <c:v>-0.27718585822512665</c:v>
                </c:pt>
                <c:pt idx="16">
                  <c:v>-0.27718585822512665</c:v>
                </c:pt>
                <c:pt idx="17">
                  <c:v>-0.27718585822512665</c:v>
                </c:pt>
                <c:pt idx="18">
                  <c:v>-0.27718585822512665</c:v>
                </c:pt>
                <c:pt idx="19">
                  <c:v>-0.27718585822512665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F-469E-B536-85EAC8B9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33615162073311"/>
          <c:y val="0.23588235294117649"/>
          <c:w val="0.51589898486400843"/>
          <c:h val="0.68568627450980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ACF_PACF'!$Z$1</c:f>
              <c:strCache>
                <c:ptCount val="1"/>
                <c:pt idx="0">
                  <c:v>PACF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ACF_PACF'!$Z$4:$Z$23</c:f>
              <c:numCache>
                <c:formatCode>0.000</c:formatCode>
                <c:ptCount val="20"/>
                <c:pt idx="0">
                  <c:v>-0.14775995664735794</c:v>
                </c:pt>
                <c:pt idx="1">
                  <c:v>-0.2343170075874963</c:v>
                </c:pt>
                <c:pt idx="2">
                  <c:v>0.12737104241324604</c:v>
                </c:pt>
                <c:pt idx="3">
                  <c:v>-0.22885905161243128</c:v>
                </c:pt>
                <c:pt idx="4">
                  <c:v>-0.11976605372778258</c:v>
                </c:pt>
                <c:pt idx="5">
                  <c:v>0.11234116596202119</c:v>
                </c:pt>
                <c:pt idx="6">
                  <c:v>-0.22695857926700613</c:v>
                </c:pt>
                <c:pt idx="7">
                  <c:v>6.1701367644729978E-2</c:v>
                </c:pt>
                <c:pt idx="8">
                  <c:v>-0.13208176922036657</c:v>
                </c:pt>
                <c:pt idx="9">
                  <c:v>-0.11252631430978571</c:v>
                </c:pt>
                <c:pt idx="10">
                  <c:v>-0.11311895824433384</c:v>
                </c:pt>
                <c:pt idx="11">
                  <c:v>3.6600657857219139E-3</c:v>
                </c:pt>
                <c:pt idx="12">
                  <c:v>-1.7231463230406509E-2</c:v>
                </c:pt>
                <c:pt idx="13">
                  <c:v>-0.14984868598341647</c:v>
                </c:pt>
                <c:pt idx="14">
                  <c:v>-0.10483463853500861</c:v>
                </c:pt>
                <c:pt idx="15">
                  <c:v>-3.8546459666535124E-2</c:v>
                </c:pt>
                <c:pt idx="16">
                  <c:v>-2.2925008978743205E-2</c:v>
                </c:pt>
                <c:pt idx="17">
                  <c:v>-2.3050699688338186E-3</c:v>
                </c:pt>
                <c:pt idx="18">
                  <c:v>-5.1369699112283007E-2</c:v>
                </c:pt>
                <c:pt idx="19">
                  <c:v>-5.1792374058407115E-2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9-4886-8858-A1ABA10C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'1. ACF_PACF'!$AB$1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ACF_PACF'!$AB$4:$AB$23</c:f>
              <c:numCache>
                <c:formatCode>0.000</c:formatCode>
                <c:ptCount val="20"/>
                <c:pt idx="0">
                  <c:v>0.27999999999999997</c:v>
                </c:pt>
                <c:pt idx="1">
                  <c:v>0.27999999999999997</c:v>
                </c:pt>
                <c:pt idx="2">
                  <c:v>0.27999999999999997</c:v>
                </c:pt>
                <c:pt idx="3">
                  <c:v>0.27999999999999997</c:v>
                </c:pt>
                <c:pt idx="4">
                  <c:v>0.27999999999999997</c:v>
                </c:pt>
                <c:pt idx="5">
                  <c:v>0.27999999999999997</c:v>
                </c:pt>
                <c:pt idx="6">
                  <c:v>0.27999999999999997</c:v>
                </c:pt>
                <c:pt idx="7">
                  <c:v>0.27999999999999997</c:v>
                </c:pt>
                <c:pt idx="8">
                  <c:v>0.27999999999999997</c:v>
                </c:pt>
                <c:pt idx="9">
                  <c:v>0.27999999999999997</c:v>
                </c:pt>
                <c:pt idx="10">
                  <c:v>0.27999999999999997</c:v>
                </c:pt>
                <c:pt idx="11">
                  <c:v>0.27999999999999997</c:v>
                </c:pt>
                <c:pt idx="12">
                  <c:v>0.27999999999999997</c:v>
                </c:pt>
                <c:pt idx="13">
                  <c:v>0.27999999999999997</c:v>
                </c:pt>
                <c:pt idx="14">
                  <c:v>0.27999999999999997</c:v>
                </c:pt>
                <c:pt idx="15">
                  <c:v>0.27999999999999997</c:v>
                </c:pt>
                <c:pt idx="16">
                  <c:v>0.27999999999999997</c:v>
                </c:pt>
                <c:pt idx="17">
                  <c:v>0.27999999999999997</c:v>
                </c:pt>
                <c:pt idx="18">
                  <c:v>0.27999999999999997</c:v>
                </c:pt>
                <c:pt idx="19">
                  <c:v>0.27999999999999997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9-4886-8858-A1ABA10CF7D6}"/>
            </c:ext>
          </c:extLst>
        </c:ser>
        <c:ser>
          <c:idx val="2"/>
          <c:order val="2"/>
          <c:tx>
            <c:strRef>
              <c:f>'1. ACF_PACF'!$AA$1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ACF_PACF'!$AA$4:$AA$23</c:f>
              <c:numCache>
                <c:formatCode>0.000</c:formatCode>
                <c:ptCount val="20"/>
                <c:pt idx="0">
                  <c:v>-0.27999999999999997</c:v>
                </c:pt>
                <c:pt idx="1">
                  <c:v>-0.27999999999999997</c:v>
                </c:pt>
                <c:pt idx="2">
                  <c:v>-0.27999999999999997</c:v>
                </c:pt>
                <c:pt idx="3">
                  <c:v>-0.27999999999999997</c:v>
                </c:pt>
                <c:pt idx="4">
                  <c:v>-0.27999999999999997</c:v>
                </c:pt>
                <c:pt idx="5">
                  <c:v>-0.27999999999999997</c:v>
                </c:pt>
                <c:pt idx="6">
                  <c:v>-0.27999999999999997</c:v>
                </c:pt>
                <c:pt idx="7">
                  <c:v>-0.27999999999999997</c:v>
                </c:pt>
                <c:pt idx="8">
                  <c:v>-0.27999999999999997</c:v>
                </c:pt>
                <c:pt idx="9">
                  <c:v>-0.27999999999999997</c:v>
                </c:pt>
                <c:pt idx="10">
                  <c:v>-0.27999999999999997</c:v>
                </c:pt>
                <c:pt idx="11">
                  <c:v>-0.27999999999999997</c:v>
                </c:pt>
                <c:pt idx="12">
                  <c:v>-0.27999999999999997</c:v>
                </c:pt>
                <c:pt idx="13">
                  <c:v>-0.27999999999999997</c:v>
                </c:pt>
                <c:pt idx="14">
                  <c:v>-0.27999999999999997</c:v>
                </c:pt>
                <c:pt idx="15">
                  <c:v>-0.27999999999999997</c:v>
                </c:pt>
                <c:pt idx="16">
                  <c:v>-0.27999999999999997</c:v>
                </c:pt>
                <c:pt idx="17">
                  <c:v>-0.27999999999999997</c:v>
                </c:pt>
                <c:pt idx="18">
                  <c:v>-0.27999999999999997</c:v>
                </c:pt>
                <c:pt idx="19">
                  <c:v>-0.27999999999999997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9-4886-8858-A1ABA10C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ACF_PACF'!$B$1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'1. ACF_PACF'!$B$2:$B$52</c:f>
              <c:numCache>
                <c:formatCode>0.00</c:formatCode>
                <c:ptCount val="51"/>
                <c:pt idx="1">
                  <c:v>1.2999999999999998</c:v>
                </c:pt>
                <c:pt idx="2">
                  <c:v>8.6</c:v>
                </c:pt>
                <c:pt idx="3">
                  <c:v>12.132</c:v>
                </c:pt>
                <c:pt idx="4">
                  <c:v>10.9696</c:v>
                </c:pt>
                <c:pt idx="5">
                  <c:v>7.8545599999999984</c:v>
                </c:pt>
                <c:pt idx="6">
                  <c:v>6.9285119999999987</c:v>
                </c:pt>
                <c:pt idx="7">
                  <c:v>3.8660799999999984</c:v>
                </c:pt>
                <c:pt idx="8">
                  <c:v>2.9443020799999982</c:v>
                </c:pt>
                <c:pt idx="9">
                  <c:v>-0.12313113600000225</c:v>
                </c:pt>
                <c:pt idx="10">
                  <c:v>4.9504067583999998</c:v>
                </c:pt>
                <c:pt idx="11">
                  <c:v>3.2800263884799983</c:v>
                </c:pt>
                <c:pt idx="12">
                  <c:v>-8.8043970560002904E-2</c:v>
                </c:pt>
                <c:pt idx="13">
                  <c:v>2.8647606013951963</c:v>
                </c:pt>
                <c:pt idx="14">
                  <c:v>3.345895516405756</c:v>
                </c:pt>
                <c:pt idx="15">
                  <c:v>1.8383547169013719</c:v>
                </c:pt>
                <c:pt idx="16">
                  <c:v>4.535340490896175</c:v>
                </c:pt>
                <c:pt idx="17">
                  <c:v>0.91413563801271902</c:v>
                </c:pt>
                <c:pt idx="18">
                  <c:v>1.7656540318667853</c:v>
                </c:pt>
                <c:pt idx="19">
                  <c:v>2.4062615234113913</c:v>
                </c:pt>
                <c:pt idx="20">
                  <c:v>4.962504573630425</c:v>
                </c:pt>
                <c:pt idx="21">
                  <c:v>1.2850018151585152</c:v>
                </c:pt>
                <c:pt idx="22">
                  <c:v>2.1140007203459419</c:v>
                </c:pt>
                <c:pt idx="23">
                  <c:v>2.7456002858513884</c:v>
                </c:pt>
                <c:pt idx="24">
                  <c:v>1.2982401134257575</c:v>
                </c:pt>
                <c:pt idx="25">
                  <c:v>1.9296045004381313E-2</c:v>
                </c:pt>
                <c:pt idx="26">
                  <c:v>0.8077184178553809</c:v>
                </c:pt>
                <c:pt idx="27">
                  <c:v>-0.57691263291639938</c:v>
                </c:pt>
                <c:pt idx="28">
                  <c:v>-1.8307650531899835</c:v>
                </c:pt>
                <c:pt idx="29">
                  <c:v>-3.0323060212853661</c:v>
                </c:pt>
                <c:pt idx="30">
                  <c:v>-6.2129224085178993</c:v>
                </c:pt>
                <c:pt idx="31">
                  <c:v>-1.1851689634086644</c:v>
                </c:pt>
                <c:pt idx="32">
                  <c:v>-2.8740675853640711</c:v>
                </c:pt>
                <c:pt idx="33">
                  <c:v>-6.2496270341458739</c:v>
                </c:pt>
                <c:pt idx="34">
                  <c:v>-1.2998508136584519</c:v>
                </c:pt>
                <c:pt idx="35">
                  <c:v>-1.0199403254634252</c:v>
                </c:pt>
                <c:pt idx="36">
                  <c:v>-2.6079761301853921</c:v>
                </c:pt>
                <c:pt idx="37">
                  <c:v>2.0568095479258304</c:v>
                </c:pt>
                <c:pt idx="38">
                  <c:v>2.2227238191703229</c:v>
                </c:pt>
                <c:pt idx="39">
                  <c:v>0.58908952766812117</c:v>
                </c:pt>
                <c:pt idx="40">
                  <c:v>5.2356358110672412</c:v>
                </c:pt>
                <c:pt idx="41">
                  <c:v>1.3942543244268895</c:v>
                </c:pt>
                <c:pt idx="42">
                  <c:v>2.1577017297707481</c:v>
                </c:pt>
                <c:pt idx="43">
                  <c:v>6.763080691908292</c:v>
                </c:pt>
                <c:pt idx="44">
                  <c:v>4.905232276763309</c:v>
                </c:pt>
                <c:pt idx="45">
                  <c:v>1.4620929107053158</c:v>
                </c:pt>
                <c:pt idx="46">
                  <c:v>-1.6151628357178818</c:v>
                </c:pt>
                <c:pt idx="47">
                  <c:v>-4.5460651342871614</c:v>
                </c:pt>
                <c:pt idx="48">
                  <c:v>-1.4184260537148732</c:v>
                </c:pt>
                <c:pt idx="49">
                  <c:v>1.1326295785140421</c:v>
                </c:pt>
                <c:pt idx="5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6-40E5-885E-B9DE69FE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083632"/>
        <c:axId val="549085928"/>
      </c:lineChart>
      <c:catAx>
        <c:axId val="54908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85928"/>
        <c:crosses val="autoZero"/>
        <c:auto val="1"/>
        <c:lblAlgn val="ctr"/>
        <c:lblOffset val="100"/>
        <c:noMultiLvlLbl val="0"/>
      </c:catAx>
      <c:valAx>
        <c:axId val="54908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8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ACF_PACF'!$Q$1</c:f>
              <c:strCache>
                <c:ptCount val="1"/>
                <c:pt idx="0">
                  <c:v>Diff 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'1. ACF_PACF'!$Q$2:$Q$53</c:f>
              <c:numCache>
                <c:formatCode>0.00</c:formatCode>
                <c:ptCount val="52"/>
                <c:pt idx="2">
                  <c:v>7.3</c:v>
                </c:pt>
                <c:pt idx="3">
                  <c:v>3.532</c:v>
                </c:pt>
                <c:pt idx="4">
                  <c:v>-1.1623999999999999</c:v>
                </c:pt>
                <c:pt idx="5">
                  <c:v>-3.1150400000000014</c:v>
                </c:pt>
                <c:pt idx="6">
                  <c:v>-0.92604799999999976</c:v>
                </c:pt>
                <c:pt idx="7">
                  <c:v>-3.0624320000000003</c:v>
                </c:pt>
                <c:pt idx="8">
                  <c:v>-0.92177792000000025</c:v>
                </c:pt>
                <c:pt idx="9">
                  <c:v>-3.0674332160000004</c:v>
                </c:pt>
                <c:pt idx="10">
                  <c:v>5.073537894400002</c:v>
                </c:pt>
                <c:pt idx="11">
                  <c:v>-1.6703803699200015</c:v>
                </c:pt>
                <c:pt idx="12">
                  <c:v>-3.3680703590400012</c:v>
                </c:pt>
                <c:pt idx="13">
                  <c:v>2.9528045719551992</c:v>
                </c:pt>
                <c:pt idx="14">
                  <c:v>0.48113491501055972</c:v>
                </c:pt>
                <c:pt idx="15">
                  <c:v>-1.5075407995043841</c:v>
                </c:pt>
                <c:pt idx="16">
                  <c:v>2.6969857739948031</c:v>
                </c:pt>
                <c:pt idx="17">
                  <c:v>-3.6212048528834559</c:v>
                </c:pt>
                <c:pt idx="18">
                  <c:v>0.85151839385406625</c:v>
                </c:pt>
                <c:pt idx="19">
                  <c:v>0.64060749154460606</c:v>
                </c:pt>
                <c:pt idx="20">
                  <c:v>2.5562430502190336</c:v>
                </c:pt>
                <c:pt idx="21">
                  <c:v>-3.6775027584719098</c:v>
                </c:pt>
                <c:pt idx="22">
                  <c:v>0.82899890518742669</c:v>
                </c:pt>
                <c:pt idx="23">
                  <c:v>0.63159956550544649</c:v>
                </c:pt>
                <c:pt idx="24">
                  <c:v>-1.4473601724256309</c:v>
                </c:pt>
                <c:pt idx="25">
                  <c:v>-1.2789440684213762</c:v>
                </c:pt>
                <c:pt idx="26">
                  <c:v>0.78842237285099959</c:v>
                </c:pt>
                <c:pt idx="27">
                  <c:v>-1.3846310507717803</c:v>
                </c:pt>
                <c:pt idx="28">
                  <c:v>-1.2538524202735841</c:v>
                </c:pt>
                <c:pt idx="29">
                  <c:v>-1.2015409680953826</c:v>
                </c:pt>
                <c:pt idx="30">
                  <c:v>-3.1806163872325333</c:v>
                </c:pt>
                <c:pt idx="31">
                  <c:v>5.0277534451092354</c:v>
                </c:pt>
                <c:pt idx="32">
                  <c:v>-1.6888986219554067</c:v>
                </c:pt>
                <c:pt idx="33">
                  <c:v>-3.3755594487818028</c:v>
                </c:pt>
                <c:pt idx="34">
                  <c:v>4.9497762204874221</c:v>
                </c:pt>
                <c:pt idx="35">
                  <c:v>0.27991048819502673</c:v>
                </c:pt>
                <c:pt idx="36">
                  <c:v>-1.5880358047219669</c:v>
                </c:pt>
                <c:pt idx="37">
                  <c:v>4.6647856781112225</c:v>
                </c:pt>
                <c:pt idx="38">
                  <c:v>0.16591427124449254</c:v>
                </c:pt>
                <c:pt idx="39">
                  <c:v>-1.6336342915022017</c:v>
                </c:pt>
                <c:pt idx="40">
                  <c:v>4.64654628339912</c:v>
                </c:pt>
                <c:pt idx="41">
                  <c:v>-3.8413814866403517</c:v>
                </c:pt>
                <c:pt idx="42">
                  <c:v>0.76344740534385869</c:v>
                </c:pt>
                <c:pt idx="43">
                  <c:v>4.6053789621375438</c:v>
                </c:pt>
                <c:pt idx="44">
                  <c:v>-1.857848415144983</c:v>
                </c:pt>
                <c:pt idx="45">
                  <c:v>-3.4431393660579932</c:v>
                </c:pt>
                <c:pt idx="46">
                  <c:v>-3.0772557464231975</c:v>
                </c:pt>
                <c:pt idx="47">
                  <c:v>-2.9309022985692796</c:v>
                </c:pt>
                <c:pt idx="48">
                  <c:v>3.1276390805722882</c:v>
                </c:pt>
                <c:pt idx="49">
                  <c:v>2.5510556322289153</c:v>
                </c:pt>
                <c:pt idx="50">
                  <c:v>0.87737042148595767</c:v>
                </c:pt>
                <c:pt idx="51">
                  <c:v>-2.0099999999999998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E25-9EAD-D4EFBC24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31656"/>
        <c:axId val="555407576"/>
      </c:lineChart>
      <c:catAx>
        <c:axId val="545831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407576"/>
        <c:crosses val="autoZero"/>
        <c:auto val="1"/>
        <c:lblAlgn val="ctr"/>
        <c:lblOffset val="100"/>
        <c:noMultiLvlLbl val="0"/>
      </c:catAx>
      <c:valAx>
        <c:axId val="55540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83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Dataset, Fit and Forecasts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'B-J ARMA'!$K$1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'B-J ARMA'!$K$2:$K$51</c:f>
              <c:numCache>
                <c:formatCode>0.00</c:formatCode>
                <c:ptCount val="50"/>
                <c:pt idx="0">
                  <c:v>1.2999999999999998</c:v>
                </c:pt>
                <c:pt idx="1">
                  <c:v>8.6</c:v>
                </c:pt>
                <c:pt idx="2">
                  <c:v>12.132</c:v>
                </c:pt>
                <c:pt idx="3">
                  <c:v>10.9696</c:v>
                </c:pt>
                <c:pt idx="4">
                  <c:v>7.8545599999999984</c:v>
                </c:pt>
                <c:pt idx="5">
                  <c:v>6.9285119999999987</c:v>
                </c:pt>
                <c:pt idx="6">
                  <c:v>3.8660799999999984</c:v>
                </c:pt>
                <c:pt idx="7">
                  <c:v>2.9443020799999982</c:v>
                </c:pt>
                <c:pt idx="8">
                  <c:v>-0.12313113600000225</c:v>
                </c:pt>
                <c:pt idx="9">
                  <c:v>4.9504067583999998</c:v>
                </c:pt>
                <c:pt idx="10">
                  <c:v>3.2800263884799983</c:v>
                </c:pt>
                <c:pt idx="11">
                  <c:v>-8.8043970560002904E-2</c:v>
                </c:pt>
                <c:pt idx="12">
                  <c:v>2.8647606013951963</c:v>
                </c:pt>
                <c:pt idx="13">
                  <c:v>3.345895516405756</c:v>
                </c:pt>
                <c:pt idx="14">
                  <c:v>1.8383547169013719</c:v>
                </c:pt>
                <c:pt idx="15">
                  <c:v>4.535340490896175</c:v>
                </c:pt>
                <c:pt idx="16">
                  <c:v>0.91413563801271902</c:v>
                </c:pt>
                <c:pt idx="17">
                  <c:v>1.7656540318667853</c:v>
                </c:pt>
                <c:pt idx="18">
                  <c:v>2.4062615234113913</c:v>
                </c:pt>
                <c:pt idx="19">
                  <c:v>4.962504573630425</c:v>
                </c:pt>
                <c:pt idx="20">
                  <c:v>1.2850018151585152</c:v>
                </c:pt>
                <c:pt idx="21">
                  <c:v>2.1140007203459419</c:v>
                </c:pt>
                <c:pt idx="22">
                  <c:v>2.7456002858513884</c:v>
                </c:pt>
                <c:pt idx="23">
                  <c:v>1.2982401134257575</c:v>
                </c:pt>
                <c:pt idx="24">
                  <c:v>1.9296045004381313E-2</c:v>
                </c:pt>
                <c:pt idx="25">
                  <c:v>0.8077184178553809</c:v>
                </c:pt>
                <c:pt idx="26">
                  <c:v>-0.57691263291639938</c:v>
                </c:pt>
                <c:pt idx="27">
                  <c:v>-1.8307650531899835</c:v>
                </c:pt>
                <c:pt idx="28">
                  <c:v>-3.0323060212853661</c:v>
                </c:pt>
                <c:pt idx="29">
                  <c:v>-6.2129224085178993</c:v>
                </c:pt>
                <c:pt idx="30">
                  <c:v>-1.1851689634086644</c:v>
                </c:pt>
                <c:pt idx="31">
                  <c:v>-2.8740675853640711</c:v>
                </c:pt>
                <c:pt idx="32">
                  <c:v>-6.2496270341458739</c:v>
                </c:pt>
                <c:pt idx="33">
                  <c:v>-1.2998508136584519</c:v>
                </c:pt>
                <c:pt idx="34">
                  <c:v>-1.0199403254634252</c:v>
                </c:pt>
                <c:pt idx="35">
                  <c:v>-2.6079761301853921</c:v>
                </c:pt>
                <c:pt idx="36">
                  <c:v>2.0568095479258304</c:v>
                </c:pt>
                <c:pt idx="37">
                  <c:v>2.2227238191703229</c:v>
                </c:pt>
                <c:pt idx="38">
                  <c:v>0.58908952766812117</c:v>
                </c:pt>
                <c:pt idx="39">
                  <c:v>5.2356358110672412</c:v>
                </c:pt>
                <c:pt idx="40">
                  <c:v>1.3942543244268895</c:v>
                </c:pt>
                <c:pt idx="41">
                  <c:v>2.1577017297707481</c:v>
                </c:pt>
                <c:pt idx="42">
                  <c:v>6.763080691908292</c:v>
                </c:pt>
                <c:pt idx="43">
                  <c:v>4.905232276763309</c:v>
                </c:pt>
                <c:pt idx="44">
                  <c:v>1.4620929107053158</c:v>
                </c:pt>
                <c:pt idx="45">
                  <c:v>-1.6151628357178818</c:v>
                </c:pt>
                <c:pt idx="46">
                  <c:v>-4.5460651342871614</c:v>
                </c:pt>
                <c:pt idx="47">
                  <c:v>-1.4184260537148732</c:v>
                </c:pt>
                <c:pt idx="48">
                  <c:v>1.1326295785140421</c:v>
                </c:pt>
                <c:pt idx="49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4CC-84FA-4D4517F2B2E5}"/>
            </c:ext>
          </c:extLst>
        </c:ser>
        <c:ser>
          <c:idx val="1"/>
          <c:order val="1"/>
          <c:tx>
            <c:strRef>
              <c:f>'B-J ARMA'!$N$1</c:f>
              <c:strCache>
                <c:ptCount val="1"/>
                <c:pt idx="0">
                  <c:v>ŷt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'B-J ARMA'!$N$2:$N$51</c:f>
              <c:numCache>
                <c:formatCode>0.00</c:formatCode>
                <c:ptCount val="50"/>
                <c:pt idx="0">
                  <c:v>0</c:v>
                </c:pt>
                <c:pt idx="1">
                  <c:v>1.3959533935153083</c:v>
                </c:pt>
                <c:pt idx="2">
                  <c:v>9.0525251438101666</c:v>
                </c:pt>
                <c:pt idx="3">
                  <c:v>10.837352264931706</c:v>
                </c:pt>
                <c:pt idx="4">
                  <c:v>9.1640891358515049</c:v>
                </c:pt>
                <c:pt idx="5">
                  <c:v>6.3086535077168691</c:v>
                </c:pt>
                <c:pt idx="6">
                  <c:v>6.0545987837593342</c:v>
                </c:pt>
                <c:pt idx="7">
                  <c:v>2.8965132826150977</c:v>
                </c:pt>
                <c:pt idx="8">
                  <c:v>2.7232962189138856</c:v>
                </c:pt>
                <c:pt idx="9">
                  <c:v>-0.4604430458488204</c:v>
                </c:pt>
                <c:pt idx="10">
                  <c:v>5.6808495939615256</c:v>
                </c:pt>
                <c:pt idx="11">
                  <c:v>2.3741704204883001</c:v>
                </c:pt>
                <c:pt idx="12">
                  <c:v>-0.33545707547392245</c:v>
                </c:pt>
                <c:pt idx="13">
                  <c:v>3.4548854247337339</c:v>
                </c:pt>
                <c:pt idx="14">
                  <c:v>3.0049852454298995</c:v>
                </c:pt>
                <c:pt idx="15">
                  <c:v>1.5322988015577177</c:v>
                </c:pt>
                <c:pt idx="16">
                  <c:v>4.7414545257480558</c:v>
                </c:pt>
                <c:pt idx="17">
                  <c:v>0.12183887774451851</c:v>
                </c:pt>
                <c:pt idx="18">
                  <c:v>2.1830931393359903</c:v>
                </c:pt>
                <c:pt idx="19">
                  <c:v>2.3371544170798861</c:v>
                </c:pt>
                <c:pt idx="20">
                  <c:v>4.987871382494637</c:v>
                </c:pt>
                <c:pt idx="21">
                  <c:v>0.44989005741387944</c:v>
                </c:pt>
                <c:pt idx="22">
                  <c:v>2.4668575474674093</c:v>
                </c:pt>
                <c:pt idx="23">
                  <c:v>2.6226125808714196</c:v>
                </c:pt>
                <c:pt idx="24">
                  <c:v>1.0604664911650798</c:v>
                </c:pt>
                <c:pt idx="25">
                  <c:v>0.10886988843180395</c:v>
                </c:pt>
                <c:pt idx="26">
                  <c:v>1.1784619840403165</c:v>
                </c:pt>
                <c:pt idx="27">
                  <c:v>-0.548202639423366</c:v>
                </c:pt>
                <c:pt idx="28">
                  <c:v>-1.4318982139480607</c:v>
                </c:pt>
                <c:pt idx="29">
                  <c:v>-2.4731966011340845</c:v>
                </c:pt>
                <c:pt idx="30">
                  <c:v>-5.5570452226912028</c:v>
                </c:pt>
                <c:pt idx="31">
                  <c:v>0.51087691540670055</c:v>
                </c:pt>
                <c:pt idx="32">
                  <c:v>-2.7967783908544672</c:v>
                </c:pt>
                <c:pt idx="33">
                  <c:v>-5.5140393820738067</c:v>
                </c:pt>
                <c:pt idx="34">
                  <c:v>0.3793647024902862</c:v>
                </c:pt>
                <c:pt idx="35">
                  <c:v>-0.81276313693243907</c:v>
                </c:pt>
                <c:pt idx="36">
                  <c:v>-2.1829128950643781</c:v>
                </c:pt>
                <c:pt idx="37">
                  <c:v>3.0708200929927423</c:v>
                </c:pt>
                <c:pt idx="38">
                  <c:v>1.9201098921250073</c:v>
                </c:pt>
                <c:pt idx="39">
                  <c:v>0.49153538409557973</c:v>
                </c:pt>
                <c:pt idx="40">
                  <c:v>5.7408155063139628</c:v>
                </c:pt>
                <c:pt idx="41">
                  <c:v>0.37490762223716589</c:v>
                </c:pt>
                <c:pt idx="42">
                  <c:v>2.5317527225464609</c:v>
                </c:pt>
                <c:pt idx="43">
                  <c:v>6.8332792996899085</c:v>
                </c:pt>
                <c:pt idx="44">
                  <c:v>3.7934431368841128</c:v>
                </c:pt>
                <c:pt idx="45">
                  <c:v>0.93751854845727201</c:v>
                </c:pt>
                <c:pt idx="46">
                  <c:v>-1.5798300635495173</c:v>
                </c:pt>
                <c:pt idx="47">
                  <c:v>-4.0285986383812675</c:v>
                </c:pt>
                <c:pt idx="48">
                  <c:v>-0.12010494397558391</c:v>
                </c:pt>
                <c:pt idx="49">
                  <c:v>1.5780808605241594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4CC-84FA-4D4517F2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488808"/>
        <c:axId val="543793512"/>
      </c:lineChart>
      <c:catAx>
        <c:axId val="632488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793512"/>
        <c:crosses val="autoZero"/>
        <c:auto val="1"/>
        <c:lblAlgn val="ctr"/>
        <c:lblOffset val="100"/>
        <c:noMultiLvlLbl val="0"/>
      </c:catAx>
      <c:valAx>
        <c:axId val="54379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48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224791</xdr:colOff>
      <xdr:row>22</xdr:row>
      <xdr:rowOff>139065</xdr:rowOff>
    </xdr:from>
    <xdr:to>
      <xdr:col>8</xdr:col>
      <xdr:colOff>114300</xdr:colOff>
      <xdr:row>33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3DA20-BCA2-4398-BC8D-8350EE993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32384</xdr:colOff>
      <xdr:row>24</xdr:row>
      <xdr:rowOff>5715</xdr:rowOff>
    </xdr:from>
    <xdr:to>
      <xdr:col>24</xdr:col>
      <xdr:colOff>352425</xdr:colOff>
      <xdr:row>34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8D00AC-1AE3-4B93-AC57-101080904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28576</xdr:colOff>
      <xdr:row>22</xdr:row>
      <xdr:rowOff>161925</xdr:rowOff>
    </xdr:from>
    <xdr:to>
      <xdr:col>14</xdr:col>
      <xdr:colOff>514350</xdr:colOff>
      <xdr:row>33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CA4797-C1BE-452D-8AAA-708D5A493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28576</xdr:colOff>
      <xdr:row>24</xdr:row>
      <xdr:rowOff>9525</xdr:rowOff>
    </xdr:from>
    <xdr:to>
      <xdr:col>29</xdr:col>
      <xdr:colOff>504825</xdr:colOff>
      <xdr:row>34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C43FB0-D650-438B-B661-BFBB6675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495300</xdr:colOff>
      <xdr:row>34</xdr:row>
      <xdr:rowOff>0</xdr:rowOff>
    </xdr:from>
    <xdr:to>
      <xdr:col>12</xdr:col>
      <xdr:colOff>361950</xdr:colOff>
      <xdr:row>49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F6E17F-5407-48D2-9DAA-3756F5533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142875</xdr:colOff>
      <xdr:row>35</xdr:row>
      <xdr:rowOff>114300</xdr:rowOff>
    </xdr:from>
    <xdr:to>
      <xdr:col>28</xdr:col>
      <xdr:colOff>152400</xdr:colOff>
      <xdr:row>50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DA6DF4-CBBA-49D3-BAA0-483D4EF92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18627</xdr:colOff>
      <xdr:row>3</xdr:row>
      <xdr:rowOff>174414</xdr:rowOff>
    </xdr:from>
    <xdr:to>
      <xdr:col>23</xdr:col>
      <xdr:colOff>323427</xdr:colOff>
      <xdr:row>18</xdr:row>
      <xdr:rowOff>17781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600D7-E482-4EE0-B2A0-30DF0CF40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</xdr:colOff>
      <xdr:row>20</xdr:row>
      <xdr:rowOff>0</xdr:rowOff>
    </xdr:from>
    <xdr:to>
      <xdr:col>22</xdr:col>
      <xdr:colOff>495301</xdr:colOff>
      <xdr:row>40</xdr:row>
      <xdr:rowOff>113622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42B75-EEE3-4668-93CE-B6456694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9326" y="3886200"/>
          <a:ext cx="4152900" cy="3885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3"/>
  <sheetViews>
    <sheetView zoomScale="80" zoomScaleNormal="80" workbookViewId="0">
      <selection activeCell="BA47" sqref="BA47"/>
    </sheetView>
  </sheetViews>
  <sheetFormatPr defaultRowHeight="15"/>
  <cols>
    <col min="1" max="1" width="7.28515625" customWidth="1"/>
    <col min="5" max="5" width="10.85546875" customWidth="1"/>
    <col min="9" max="9" width="4.42578125" customWidth="1"/>
    <col min="14" max="14" width="6.28515625" customWidth="1"/>
    <col min="15" max="15" width="10.5703125" customWidth="1"/>
    <col min="16" max="16" width="6" customWidth="1"/>
    <col min="17" max="17" width="8.85546875" customWidth="1"/>
    <col min="20" max="20" width="10.85546875" customWidth="1"/>
    <col min="24" max="25" width="5.7109375" customWidth="1"/>
    <col min="26" max="26" width="10.7109375" customWidth="1"/>
  </cols>
  <sheetData>
    <row r="1" spans="1:53" ht="18">
      <c r="A1" s="71" t="s">
        <v>44</v>
      </c>
      <c r="B1" s="3" t="s">
        <v>35</v>
      </c>
      <c r="C1" s="3" t="s">
        <v>48</v>
      </c>
      <c r="D1" s="3" t="s">
        <v>88</v>
      </c>
      <c r="E1" s="122" t="s">
        <v>49</v>
      </c>
      <c r="F1" s="121" t="s">
        <v>46</v>
      </c>
      <c r="G1" s="121" t="s">
        <v>47</v>
      </c>
      <c r="H1" s="72" t="s">
        <v>45</v>
      </c>
      <c r="I1" s="72"/>
      <c r="J1" s="122" t="s">
        <v>51</v>
      </c>
      <c r="K1" s="121" t="s">
        <v>46</v>
      </c>
      <c r="L1" s="121" t="s">
        <v>47</v>
      </c>
      <c r="M1" s="72" t="s">
        <v>45</v>
      </c>
      <c r="N1" s="73"/>
      <c r="O1" s="73" t="s">
        <v>87</v>
      </c>
      <c r="P1" s="73"/>
      <c r="Q1" s="3" t="s">
        <v>41</v>
      </c>
      <c r="R1" s="3" t="s">
        <v>48</v>
      </c>
      <c r="S1" s="3" t="s">
        <v>88</v>
      </c>
      <c r="T1" s="120" t="s">
        <v>50</v>
      </c>
      <c r="U1" s="119" t="s">
        <v>46</v>
      </c>
      <c r="V1" s="119" t="s">
        <v>47</v>
      </c>
      <c r="W1" s="72" t="s">
        <v>45</v>
      </c>
      <c r="Y1" s="113"/>
      <c r="Z1" s="120" t="s">
        <v>52</v>
      </c>
      <c r="AA1" s="119" t="s">
        <v>46</v>
      </c>
      <c r="AB1" s="119" t="s">
        <v>47</v>
      </c>
      <c r="AC1" s="72" t="s">
        <v>45</v>
      </c>
      <c r="AE1" s="77" t="s">
        <v>73</v>
      </c>
      <c r="AF1" s="77" t="s">
        <v>74</v>
      </c>
      <c r="AG1" s="77" t="s">
        <v>75</v>
      </c>
      <c r="AH1" s="77" t="s">
        <v>53</v>
      </c>
      <c r="AI1" s="77" t="s">
        <v>54</v>
      </c>
      <c r="AJ1" s="77" t="s">
        <v>55</v>
      </c>
      <c r="AK1" s="77" t="s">
        <v>56</v>
      </c>
      <c r="AL1" s="77" t="s">
        <v>57</v>
      </c>
      <c r="AM1" s="77" t="s">
        <v>58</v>
      </c>
      <c r="AN1" s="77" t="s">
        <v>59</v>
      </c>
      <c r="AO1" s="77" t="s">
        <v>60</v>
      </c>
      <c r="AP1" s="77" t="s">
        <v>61</v>
      </c>
      <c r="AQ1" s="77" t="s">
        <v>62</v>
      </c>
      <c r="AR1" s="77" t="s">
        <v>63</v>
      </c>
      <c r="AS1" s="77" t="s">
        <v>64</v>
      </c>
      <c r="AT1" s="77" t="s">
        <v>65</v>
      </c>
      <c r="AU1" s="77" t="s">
        <v>66</v>
      </c>
      <c r="AV1" s="77" t="s">
        <v>67</v>
      </c>
      <c r="AW1" s="77" t="s">
        <v>68</v>
      </c>
      <c r="AX1" s="77" t="s">
        <v>69</v>
      </c>
      <c r="AY1" s="77" t="s">
        <v>70</v>
      </c>
      <c r="AZ1" s="77" t="s">
        <v>71</v>
      </c>
      <c r="BA1" s="77" t="s">
        <v>72</v>
      </c>
    </row>
    <row r="2" spans="1:53">
      <c r="A2" s="118">
        <v>0</v>
      </c>
      <c r="B2" s="115"/>
      <c r="C2" s="115"/>
      <c r="D2" s="114">
        <f>DEVSQ(C3:C52)</f>
        <v>702.96013227618414</v>
      </c>
      <c r="E2" s="117"/>
      <c r="F2" s="116"/>
      <c r="G2" s="116"/>
      <c r="H2" s="108"/>
      <c r="I2" s="108"/>
      <c r="J2" s="117"/>
      <c r="K2" s="116"/>
      <c r="L2" s="116"/>
      <c r="M2" s="108"/>
      <c r="N2" s="113"/>
      <c r="O2" s="113"/>
      <c r="P2" s="113"/>
      <c r="Q2" s="115"/>
      <c r="R2" s="115"/>
      <c r="S2" s="114">
        <f>DEVSQ(R4:R53)</f>
        <v>414.1346911282252</v>
      </c>
      <c r="T2" s="110"/>
      <c r="U2" s="109"/>
      <c r="V2" s="109"/>
      <c r="W2" s="108"/>
      <c r="Y2" s="113"/>
      <c r="Z2" s="110"/>
      <c r="AA2" s="109"/>
      <c r="AB2" s="109"/>
      <c r="AC2" s="108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>
      <c r="A3" s="74">
        <v>1</v>
      </c>
      <c r="B3" s="5">
        <v>1.2999999999999998</v>
      </c>
      <c r="C3" s="75">
        <f t="shared" ref="C3:C34" si="0">B3-AVERAGE($B$3:$B$52)</f>
        <v>-0.47954271673091786</v>
      </c>
      <c r="D3" s="99">
        <f>SUMPRODUCT($C$3:INDEX($C$3:$C$52,ROWS(C4:$C$52)),C4:$C$52)</f>
        <v>497.75440082378066</v>
      </c>
      <c r="E3" s="105">
        <f t="shared" ref="E3:E22" si="1">D3/$D$2</f>
        <v>0.70808340042279849</v>
      </c>
      <c r="F3" s="104">
        <f t="shared" ref="F3:F22" si="2">-1.96*H3</f>
        <v>-0.39227079844758717</v>
      </c>
      <c r="G3" s="104">
        <f t="shared" ref="G3:G22" si="3">1.96*H3</f>
        <v>0.39227079844758717</v>
      </c>
      <c r="H3" s="1">
        <f>SQRT((1/COUNT($C$3:$C$52))*(1+2*SUMSQ($E$3:E3)))</f>
        <v>0.20013816247325877</v>
      </c>
      <c r="I3" s="1"/>
      <c r="J3" s="103">
        <f t="shared" ref="J3:J22" si="4">AG3</f>
        <v>0.70808340042279849</v>
      </c>
      <c r="K3" s="103">
        <f t="shared" ref="K3:K22" si="5">-1.96*M3</f>
        <v>-0.27718585822512665</v>
      </c>
      <c r="L3" s="103">
        <f t="shared" ref="L3:L22" si="6">1.96*M3</f>
        <v>0.27718585822512665</v>
      </c>
      <c r="M3" s="76">
        <f t="shared" ref="M3:M22" si="7">1/SQRT(COUNT($C$3:$C$52))</f>
        <v>0.1414213562373095</v>
      </c>
      <c r="N3" s="1"/>
      <c r="O3" s="112">
        <v>1</v>
      </c>
      <c r="P3" s="111"/>
      <c r="Q3" s="97"/>
      <c r="R3" s="75"/>
      <c r="S3" s="99"/>
      <c r="T3" s="102"/>
      <c r="U3" s="100"/>
      <c r="V3" s="100"/>
      <c r="W3" s="1"/>
      <c r="Z3" s="110"/>
      <c r="AA3" s="109"/>
      <c r="AB3" s="109"/>
      <c r="AC3" s="108"/>
      <c r="AE3" s="81">
        <v>1</v>
      </c>
      <c r="AF3" s="78">
        <f t="shared" ref="AF3:AF22" si="8">E3</f>
        <v>0.70808340042279849</v>
      </c>
      <c r="AG3" s="1">
        <f>AH3</f>
        <v>0.70808340042279849</v>
      </c>
      <c r="AH3" s="79">
        <f>AF3</f>
        <v>0.70808340042279849</v>
      </c>
      <c r="AI3" s="1"/>
      <c r="AJ3" s="1"/>
      <c r="AK3" s="1"/>
      <c r="AL3" s="1"/>
      <c r="AM3" s="80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2"/>
      <c r="AZ3" s="2"/>
      <c r="BA3" s="2"/>
    </row>
    <row r="4" spans="1:53">
      <c r="A4" s="74">
        <v>2</v>
      </c>
      <c r="B4" s="5">
        <v>8.6</v>
      </c>
      <c r="C4" s="75">
        <f t="shared" si="0"/>
        <v>6.8204572832690822</v>
      </c>
      <c r="D4" s="99">
        <f>SUMPRODUCT($C$3:INDEX($C$3:$C$52,ROWS(C5:$C$52)),C5:$C$52)</f>
        <v>355.805149312254</v>
      </c>
      <c r="E4" s="105">
        <f t="shared" si="1"/>
        <v>0.50615267207282055</v>
      </c>
      <c r="F4" s="104">
        <f t="shared" si="2"/>
        <v>-0.43959485952890737</v>
      </c>
      <c r="G4" s="104">
        <f t="shared" si="3"/>
        <v>0.43959485952890737</v>
      </c>
      <c r="H4" s="1">
        <f>SQRT((1/COUNT($C$3:$C$52))*(1+2*SUMSQ($E$3:E4)))</f>
        <v>0.22428309159638132</v>
      </c>
      <c r="I4" s="1"/>
      <c r="J4" s="103">
        <f t="shared" si="4"/>
        <v>9.5675869983917663E-3</v>
      </c>
      <c r="K4" s="103">
        <f t="shared" si="5"/>
        <v>-0.27718585822512665</v>
      </c>
      <c r="L4" s="103">
        <f t="shared" si="6"/>
        <v>0.27718585822512665</v>
      </c>
      <c r="M4" s="76">
        <f t="shared" si="7"/>
        <v>0.1414213562373095</v>
      </c>
      <c r="N4" s="1"/>
      <c r="O4" s="107"/>
      <c r="P4" s="98">
        <v>1</v>
      </c>
      <c r="Q4" s="97">
        <f t="shared" ref="Q4:Q35" si="9">B4-B3</f>
        <v>7.3</v>
      </c>
      <c r="R4" s="75">
        <f t="shared" ref="R4:R35" si="10">Q4-AVERAGE($Q$4:$Q$52)</f>
        <v>7.2855102040816329</v>
      </c>
      <c r="S4" s="99">
        <f>SUMPRODUCT($R$4:INDEX($R$4:$R$53,ROWS($R5:R$53)),$R5:R$53)</f>
        <v>-61.192524007273526</v>
      </c>
      <c r="T4" s="102">
        <f t="shared" ref="T4:T23" si="11">S4/$S$2</f>
        <v>-0.14775995664735794</v>
      </c>
      <c r="U4" s="100">
        <f t="shared" ref="U4:U23" si="12">-1.96*W4</f>
        <v>-0.28604792457003719</v>
      </c>
      <c r="V4" s="100">
        <f t="shared" ref="V4:V23" si="13">1.96*W4</f>
        <v>0.28604792457003719</v>
      </c>
      <c r="W4" s="1">
        <f>SQRT((1/COUNT($R$4:$R$52))*(1+2*SUMSQ($T$4:T4)))</f>
        <v>0.14594281865818223</v>
      </c>
      <c r="Z4" s="101">
        <f t="shared" ref="Z4:Z23" si="14">AG27</f>
        <v>-0.14775995664735794</v>
      </c>
      <c r="AA4" s="100">
        <f t="shared" ref="AA4:AA23" si="15">-1.96*AC4</f>
        <v>-0.27999999999999997</v>
      </c>
      <c r="AB4" s="100">
        <f t="shared" ref="AB4:AB23" si="16">1.96*AC4</f>
        <v>0.27999999999999997</v>
      </c>
      <c r="AC4" s="76">
        <f t="shared" ref="AC4:AC23" si="17">1/SQRT(COUNT($R$4:$R$52))</f>
        <v>0.14285714285714285</v>
      </c>
      <c r="AE4" s="81">
        <v>2</v>
      </c>
      <c r="AF4" s="78">
        <f t="shared" si="8"/>
        <v>0.50615267207282055</v>
      </c>
      <c r="AG4" s="1">
        <f>AI4</f>
        <v>9.5675869983917663E-3</v>
      </c>
      <c r="AH4" s="1">
        <f>AH3-(AH3*AI4)</f>
        <v>0.70130875088713629</v>
      </c>
      <c r="AI4" s="79">
        <f>(AF4-(AH3*AF3))/(1-(AH3*AF3))</f>
        <v>9.5675869983917663E-3</v>
      </c>
      <c r="AJ4" s="1"/>
      <c r="AK4" s="1"/>
      <c r="AL4" s="1"/>
      <c r="AM4" s="80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2"/>
      <c r="AZ4" s="2"/>
      <c r="BA4" s="2"/>
    </row>
    <row r="5" spans="1:53">
      <c r="A5" s="74">
        <v>3</v>
      </c>
      <c r="B5" s="5">
        <v>12.132</v>
      </c>
      <c r="C5" s="75">
        <f t="shared" si="0"/>
        <v>10.352457283269082</v>
      </c>
      <c r="D5" s="99">
        <f>SUMPRODUCT($C$3:INDEX($C$3:$C$52,ROWS(C6:$C$52)),C6:$C$52)</f>
        <v>297.07657162384561</v>
      </c>
      <c r="E5" s="105">
        <f t="shared" si="1"/>
        <v>0.42260799437076468</v>
      </c>
      <c r="F5" s="104">
        <f t="shared" si="2"/>
        <v>-0.46977404074948181</v>
      </c>
      <c r="G5" s="104">
        <f t="shared" si="3"/>
        <v>0.46977404074948181</v>
      </c>
      <c r="H5" s="1">
        <f>SQRT((1/COUNT($C$3:$C$52))*(1+2*SUMSQ($E$3:E5)))</f>
        <v>0.2396806330354499</v>
      </c>
      <c r="I5" s="1"/>
      <c r="J5" s="103">
        <f t="shared" si="4"/>
        <v>0.12207668194649815</v>
      </c>
      <c r="K5" s="103">
        <f t="shared" si="5"/>
        <v>-0.27718585822512665</v>
      </c>
      <c r="L5" s="103">
        <f t="shared" si="6"/>
        <v>0.27718585822512665</v>
      </c>
      <c r="M5" s="76">
        <f t="shared" si="7"/>
        <v>0.1414213562373095</v>
      </c>
      <c r="N5" s="1"/>
      <c r="O5" s="106"/>
      <c r="P5" s="98">
        <v>2</v>
      </c>
      <c r="Q5" s="97">
        <f t="shared" si="9"/>
        <v>3.532</v>
      </c>
      <c r="R5" s="75">
        <f t="shared" si="10"/>
        <v>3.5175102040816326</v>
      </c>
      <c r="S5" s="99">
        <f>SUMPRODUCT($R$4:INDEX($R$4:$R$53,ROWS($R6:R$53)),$R6:R$53)</f>
        <v>-85.878348249684862</v>
      </c>
      <c r="T5" s="102">
        <f t="shared" si="11"/>
        <v>-0.20736815845039902</v>
      </c>
      <c r="U5" s="100">
        <f t="shared" si="12"/>
        <v>-0.29760050181919739</v>
      </c>
      <c r="V5" s="100">
        <f t="shared" si="13"/>
        <v>0.29760050181919739</v>
      </c>
      <c r="W5" s="1">
        <f>SQRT((1/COUNT($R$4:$R$52))*(1+2*SUMSQ($T$4:T5)))</f>
        <v>0.1518369907240803</v>
      </c>
      <c r="Z5" s="101">
        <f t="shared" si="14"/>
        <v>-0.2343170075874963</v>
      </c>
      <c r="AA5" s="100">
        <f t="shared" si="15"/>
        <v>-0.27999999999999997</v>
      </c>
      <c r="AB5" s="100">
        <f t="shared" si="16"/>
        <v>0.27999999999999997</v>
      </c>
      <c r="AC5" s="76">
        <f t="shared" si="17"/>
        <v>0.14285714285714285</v>
      </c>
      <c r="AE5" s="81">
        <v>3</v>
      </c>
      <c r="AF5" s="78">
        <f t="shared" si="8"/>
        <v>0.42260799437076468</v>
      </c>
      <c r="AG5" s="1">
        <f>AJ5</f>
        <v>0.12207668194649815</v>
      </c>
      <c r="AH5" s="1">
        <f>AH4-(AI4*AJ5)</f>
        <v>0.70014077161213817</v>
      </c>
      <c r="AI5" s="1">
        <f>AI4-(AH4*AJ5)</f>
        <v>-7.6045858329953073E-2</v>
      </c>
      <c r="AJ5" s="79">
        <f>(AF5-(AH4*AF4+AI4*AF3))/(1-(AH4*AF3+AI4*AF4))</f>
        <v>0.12207668194649815</v>
      </c>
      <c r="AK5" s="1"/>
      <c r="AL5" s="1"/>
      <c r="AM5" s="80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2"/>
      <c r="AZ5" s="2"/>
      <c r="BA5" s="2"/>
    </row>
    <row r="6" spans="1:53">
      <c r="A6" s="74">
        <v>4</v>
      </c>
      <c r="B6" s="5">
        <v>10.9696</v>
      </c>
      <c r="C6" s="75">
        <f t="shared" si="0"/>
        <v>9.1900572832690823</v>
      </c>
      <c r="D6" s="99">
        <f>SUMPRODUCT($C$3:INDEX($C$3:$C$52,ROWS(C7:$C$52)),C7:$C$52)</f>
        <v>153.66765064491162</v>
      </c>
      <c r="E6" s="105">
        <f t="shared" si="1"/>
        <v>0.21860080478153993</v>
      </c>
      <c r="F6" s="104">
        <f t="shared" si="2"/>
        <v>-0.47752558589712119</v>
      </c>
      <c r="G6" s="104">
        <f t="shared" si="3"/>
        <v>0.47752558589712119</v>
      </c>
      <c r="H6" s="1">
        <f>SQRT((1/COUNT($C$3:$C$52))*(1+2*SUMSQ($E$3:E6)))</f>
        <v>0.24363550300873529</v>
      </c>
      <c r="I6" s="1"/>
      <c r="J6" s="103">
        <f t="shared" si="4"/>
        <v>-0.25498510757379067</v>
      </c>
      <c r="K6" s="103">
        <f t="shared" si="5"/>
        <v>-0.27718585822512665</v>
      </c>
      <c r="L6" s="103">
        <f t="shared" si="6"/>
        <v>0.27718585822512665</v>
      </c>
      <c r="M6" s="76">
        <f t="shared" si="7"/>
        <v>0.1414213562373095</v>
      </c>
      <c r="N6" s="1"/>
      <c r="O6" s="106"/>
      <c r="P6" s="98">
        <v>3</v>
      </c>
      <c r="Q6" s="97">
        <f t="shared" si="9"/>
        <v>-1.1623999999999999</v>
      </c>
      <c r="R6" s="75">
        <f t="shared" si="10"/>
        <v>-1.1768897959183673</v>
      </c>
      <c r="S6" s="99">
        <f>SUMPRODUCT($R$4:INDEX($R$4:$R$53,ROWS($R7:R$53)),$R7:R$53)</f>
        <v>78.765360040976176</v>
      </c>
      <c r="T6" s="102">
        <f t="shared" si="11"/>
        <v>0.19019261541793583</v>
      </c>
      <c r="U6" s="100">
        <f t="shared" si="12"/>
        <v>-0.30698211885627807</v>
      </c>
      <c r="V6" s="100">
        <f t="shared" si="13"/>
        <v>0.30698211885627807</v>
      </c>
      <c r="W6" s="1">
        <f>SQRT((1/COUNT($R$4:$R$52))*(1+2*SUMSQ($T$4:T6)))</f>
        <v>0.15662353002871329</v>
      </c>
      <c r="Z6" s="101">
        <f t="shared" si="14"/>
        <v>0.12737104241324604</v>
      </c>
      <c r="AA6" s="100">
        <f t="shared" si="15"/>
        <v>-0.27999999999999997</v>
      </c>
      <c r="AB6" s="100">
        <f t="shared" si="16"/>
        <v>0.27999999999999997</v>
      </c>
      <c r="AC6" s="76">
        <f t="shared" si="17"/>
        <v>0.14285714285714285</v>
      </c>
      <c r="AE6" s="81">
        <v>4</v>
      </c>
      <c r="AF6" s="78">
        <f t="shared" si="8"/>
        <v>0.21860080478153993</v>
      </c>
      <c r="AG6" s="80">
        <f>AK6</f>
        <v>-0.25498510757379067</v>
      </c>
      <c r="AH6" s="80">
        <f>AH5-(AJ5*AK6)</f>
        <v>0.73126850749051742</v>
      </c>
      <c r="AI6" s="80">
        <f>AI5-(AI5*AK6)</f>
        <v>-9.5436419696757396E-2</v>
      </c>
      <c r="AJ6" s="80">
        <f>AJ5-(AH5*AK6)</f>
        <v>0.30060215191281603</v>
      </c>
      <c r="AK6" s="79">
        <f>(AF6-(AH5*AF5+AI5*AF4+AJ5*AF3))/(1-(AH5*AF3+AI5*AF4+AJ5*AF5))</f>
        <v>-0.25498510757379067</v>
      </c>
      <c r="AL6" s="1"/>
      <c r="AM6" s="80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2"/>
      <c r="AZ6" s="2"/>
      <c r="BA6" s="2"/>
    </row>
    <row r="7" spans="1:53">
      <c r="A7" s="74">
        <v>5</v>
      </c>
      <c r="B7" s="5">
        <v>7.8545599999999984</v>
      </c>
      <c r="C7" s="75">
        <f t="shared" si="0"/>
        <v>6.075017283269081</v>
      </c>
      <c r="D7" s="99">
        <f>SUMPRODUCT($C$3:INDEX($C$3:$C$52,ROWS(C8:$C$52)),C8:$C$52)</f>
        <v>102.06736770439281</v>
      </c>
      <c r="E7" s="105">
        <f t="shared" si="1"/>
        <v>0.14519652398194871</v>
      </c>
      <c r="F7" s="104">
        <f t="shared" si="2"/>
        <v>-0.48090563973911454</v>
      </c>
      <c r="G7" s="104">
        <f t="shared" si="3"/>
        <v>0.48090563973911454</v>
      </c>
      <c r="H7" s="1">
        <f>SQRT((1/COUNT($C$3:$C$52))*(1+2*SUMSQ($E$3:E7)))</f>
        <v>0.24536002027505843</v>
      </c>
      <c r="I7" s="1"/>
      <c r="J7" s="103">
        <f t="shared" si="4"/>
        <v>0.11775232620835639</v>
      </c>
      <c r="K7" s="103">
        <f t="shared" si="5"/>
        <v>-0.27718585822512665</v>
      </c>
      <c r="L7" s="103">
        <f t="shared" si="6"/>
        <v>0.27718585822512665</v>
      </c>
      <c r="M7" s="76">
        <f t="shared" si="7"/>
        <v>0.1414213562373095</v>
      </c>
      <c r="N7" s="1"/>
      <c r="O7" s="1"/>
      <c r="P7" s="98">
        <v>4</v>
      </c>
      <c r="Q7" s="97">
        <f t="shared" si="9"/>
        <v>-3.1150400000000014</v>
      </c>
      <c r="R7" s="75">
        <f t="shared" si="10"/>
        <v>-3.1295297959183688</v>
      </c>
      <c r="S7" s="99">
        <f>SUMPRODUCT($R$4:INDEX($R$4:$R$53,ROWS($R8:R$53)),$R8:R$53)</f>
        <v>-87.878589789177141</v>
      </c>
      <c r="T7" s="102">
        <f t="shared" si="11"/>
        <v>-0.21219808837982135</v>
      </c>
      <c r="U7" s="100">
        <f t="shared" si="12"/>
        <v>-0.31827412115900899</v>
      </c>
      <c r="V7" s="100">
        <f t="shared" si="13"/>
        <v>0.31827412115900899</v>
      </c>
      <c r="W7" s="1">
        <f>SQRT((1/COUNT($R$4:$R$52))*(1+2*SUMSQ($T$4:T7)))</f>
        <v>0.16238475569337193</v>
      </c>
      <c r="Z7" s="101">
        <f t="shared" si="14"/>
        <v>-0.22885905161243128</v>
      </c>
      <c r="AA7" s="100">
        <f t="shared" si="15"/>
        <v>-0.27999999999999997</v>
      </c>
      <c r="AB7" s="100">
        <f t="shared" si="16"/>
        <v>0.27999999999999997</v>
      </c>
      <c r="AC7" s="76">
        <f t="shared" si="17"/>
        <v>0.14285714285714285</v>
      </c>
      <c r="AE7" s="81">
        <v>5</v>
      </c>
      <c r="AF7" s="78">
        <f t="shared" si="8"/>
        <v>0.14519652398194871</v>
      </c>
      <c r="AG7" s="80">
        <f>AL7</f>
        <v>0.11775232620835639</v>
      </c>
      <c r="AH7" s="80">
        <f>AH6-(AK6*AL7)</f>
        <v>0.76129359705581923</v>
      </c>
      <c r="AI7" s="80">
        <f>AI6-(AJ6*AL7)</f>
        <v>-0.1308330223477292</v>
      </c>
      <c r="AJ7" s="80">
        <f>AJ6-(AI6*AL7)</f>
        <v>0.31184001233710623</v>
      </c>
      <c r="AK7" s="1">
        <f>AK6-(AH6*AL7)</f>
        <v>-0.34109367541371199</v>
      </c>
      <c r="AL7" s="79">
        <f>(AF7-(AH6*AF6+AI6*AF5+AJ6*AF4+AK6*AF3))/(1-(AH6*AF3+AI6*AF4+AJ6*AF5+AK6*AF6))</f>
        <v>0.11775232620835639</v>
      </c>
      <c r="AM7" s="80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2"/>
      <c r="AZ7" s="2"/>
      <c r="BA7" s="2"/>
    </row>
    <row r="8" spans="1:53">
      <c r="A8" s="74">
        <v>6</v>
      </c>
      <c r="B8" s="5">
        <v>6.9285119999999987</v>
      </c>
      <c r="C8" s="75">
        <f t="shared" si="0"/>
        <v>5.1489692832690812</v>
      </c>
      <c r="D8" s="99">
        <f>SUMPRODUCT($C$3:INDEX($C$3:$C$52,ROWS(C9:$C$52)),C9:$C$52)</f>
        <v>101.92155655768306</v>
      </c>
      <c r="E8" s="105">
        <f t="shared" si="1"/>
        <v>0.1449890994922588</v>
      </c>
      <c r="F8" s="104">
        <f t="shared" si="2"/>
        <v>-0.48425255208064244</v>
      </c>
      <c r="G8" s="104">
        <f t="shared" si="3"/>
        <v>0.48425255208064244</v>
      </c>
      <c r="H8" s="1">
        <f>SQRT((1/COUNT($C$3:$C$52))*(1+2*SUMSQ($E$3:E8)))</f>
        <v>0.24706762861257267</v>
      </c>
      <c r="I8" s="1"/>
      <c r="J8" s="103">
        <f t="shared" si="4"/>
        <v>4.5342608281006509E-2</v>
      </c>
      <c r="K8" s="103">
        <f t="shared" si="5"/>
        <v>-0.27718585822512665</v>
      </c>
      <c r="L8" s="103">
        <f t="shared" si="6"/>
        <v>0.27718585822512665</v>
      </c>
      <c r="M8" s="76">
        <f t="shared" si="7"/>
        <v>0.1414213562373095</v>
      </c>
      <c r="N8" s="1"/>
      <c r="O8" s="1"/>
      <c r="P8" s="98">
        <v>5</v>
      </c>
      <c r="Q8" s="97">
        <f t="shared" si="9"/>
        <v>-0.92604799999999976</v>
      </c>
      <c r="R8" s="75">
        <f t="shared" si="10"/>
        <v>-0.94053779591836717</v>
      </c>
      <c r="S8" s="99">
        <f>SUMPRODUCT($R$4:INDEX($R$4:$R$53,ROWS($R9:R$53)),$R9:R$53)</f>
        <v>-46.270362538671137</v>
      </c>
      <c r="T8" s="102">
        <f t="shared" si="11"/>
        <v>-0.11172781109599152</v>
      </c>
      <c r="U8" s="100">
        <f t="shared" si="12"/>
        <v>-0.32133435370504104</v>
      </c>
      <c r="V8" s="100">
        <f t="shared" si="13"/>
        <v>0.32133435370504104</v>
      </c>
      <c r="W8" s="1">
        <f>SQRT((1/COUNT($R$4:$R$52))*(1+2*SUMSQ($T$4:T8)))</f>
        <v>0.16394609882910258</v>
      </c>
      <c r="Z8" s="101">
        <f t="shared" si="14"/>
        <v>-0.11976605372778258</v>
      </c>
      <c r="AA8" s="100">
        <f t="shared" si="15"/>
        <v>-0.27999999999999997</v>
      </c>
      <c r="AB8" s="100">
        <f t="shared" si="16"/>
        <v>0.27999999999999997</v>
      </c>
      <c r="AC8" s="76">
        <f t="shared" si="17"/>
        <v>0.14285714285714285</v>
      </c>
      <c r="AE8" s="81">
        <v>6</v>
      </c>
      <c r="AF8" s="78">
        <f t="shared" si="8"/>
        <v>0.1449890994922588</v>
      </c>
      <c r="AG8" s="80">
        <f>AM8</f>
        <v>4.5342608281006509E-2</v>
      </c>
      <c r="AH8" s="80">
        <f>AH7-(AL7*AM8)</f>
        <v>0.75595439945437648</v>
      </c>
      <c r="AI8" s="80">
        <f>AI7-(AK7*AM8)</f>
        <v>-0.11536694543631648</v>
      </c>
      <c r="AJ8" s="80">
        <f>AJ7-(AJ7*AM8)</f>
        <v>0.29770037281136058</v>
      </c>
      <c r="AK8" s="1">
        <f>AK7-(AI7*AM8)</f>
        <v>-0.33516136493117876</v>
      </c>
      <c r="AL8" s="1">
        <f>AL7-(AH7*AM8)</f>
        <v>8.323328885021597E-2</v>
      </c>
      <c r="AM8" s="82">
        <f>(AF8-(AH7*AF7+AI7*AF6+AJ7*AF5+AK7*AF4+AL7*AF3))/(1-(AH7*AF3+AI7*AF4+AJ7*AF5+AK7*AF6+AL7*AF7))</f>
        <v>4.5342608281006509E-2</v>
      </c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"/>
      <c r="AZ8" s="2"/>
      <c r="BA8" s="2"/>
    </row>
    <row r="9" spans="1:53">
      <c r="A9" s="74">
        <v>7</v>
      </c>
      <c r="B9" s="5">
        <v>3.8660799999999984</v>
      </c>
      <c r="C9" s="75">
        <f t="shared" si="0"/>
        <v>2.0865372832690809</v>
      </c>
      <c r="D9" s="99">
        <f>SUMPRODUCT($C$3:INDEX($C$3:$C$52,ROWS(C10:$C$52)),C10:$C$52)</f>
        <v>5.0890831698578785</v>
      </c>
      <c r="E9" s="105">
        <f t="shared" si="1"/>
        <v>7.2395046834013658E-3</v>
      </c>
      <c r="F9" s="104">
        <f t="shared" si="2"/>
        <v>-0.48426086750080566</v>
      </c>
      <c r="G9" s="104">
        <f t="shared" si="3"/>
        <v>0.48426086750080566</v>
      </c>
      <c r="H9" s="1">
        <f>SQRT((1/COUNT($C$3:$C$52))*(1+2*SUMSQ($E$3:E9)))</f>
        <v>0.24707187117388044</v>
      </c>
      <c r="I9" s="1"/>
      <c r="J9" s="103">
        <f t="shared" si="4"/>
        <v>-0.18429625643271699</v>
      </c>
      <c r="K9" s="103">
        <f t="shared" si="5"/>
        <v>-0.27718585822512665</v>
      </c>
      <c r="L9" s="103">
        <f t="shared" si="6"/>
        <v>0.27718585822512665</v>
      </c>
      <c r="M9" s="76">
        <f t="shared" si="7"/>
        <v>0.1414213562373095</v>
      </c>
      <c r="N9" s="1"/>
      <c r="O9" s="1"/>
      <c r="P9" s="98">
        <v>6</v>
      </c>
      <c r="Q9" s="97">
        <f t="shared" si="9"/>
        <v>-3.0624320000000003</v>
      </c>
      <c r="R9" s="75">
        <f t="shared" si="10"/>
        <v>-3.0769217959183677</v>
      </c>
      <c r="S9" s="99">
        <f>SUMPRODUCT($R$4:INDEX($R$4:$R$53,ROWS($R10:R$53)),$R10:R$53)</f>
        <v>101.4082168627711</v>
      </c>
      <c r="T9" s="102">
        <f t="shared" si="11"/>
        <v>0.24486771824525294</v>
      </c>
      <c r="U9" s="100">
        <f t="shared" si="12"/>
        <v>-0.33564494058903172</v>
      </c>
      <c r="V9" s="100">
        <f t="shared" si="13"/>
        <v>0.33564494058903172</v>
      </c>
      <c r="W9" s="1">
        <f>SQRT((1/COUNT($R$4:$R$52))*(1+2*SUMSQ($T$4:T9)))</f>
        <v>0.17124741866787332</v>
      </c>
      <c r="Z9" s="101">
        <f t="shared" si="14"/>
        <v>0.11234116596202119</v>
      </c>
      <c r="AA9" s="100">
        <f t="shared" si="15"/>
        <v>-0.27999999999999997</v>
      </c>
      <c r="AB9" s="100">
        <f t="shared" si="16"/>
        <v>0.27999999999999997</v>
      </c>
      <c r="AC9" s="76">
        <f t="shared" si="17"/>
        <v>0.14285714285714285</v>
      </c>
      <c r="AE9" s="81">
        <v>7</v>
      </c>
      <c r="AF9" s="78">
        <f t="shared" si="8"/>
        <v>7.2395046834013658E-3</v>
      </c>
      <c r="AG9" s="80">
        <f>AN9</f>
        <v>-0.18429625643271699</v>
      </c>
      <c r="AH9" s="80">
        <f>AH8-(AM8*AN9)</f>
        <v>0.7643108724174611</v>
      </c>
      <c r="AI9" s="80">
        <f>AI8-(AL8*AN9)</f>
        <v>-0.10002736189063867</v>
      </c>
      <c r="AJ9" s="80">
        <f>AJ8-(AK8*AN9)</f>
        <v>0.23593138795366461</v>
      </c>
      <c r="AK9" s="1">
        <f>AK8-(AJ8*AN9)</f>
        <v>-0.28029630068342082</v>
      </c>
      <c r="AL9" s="1">
        <f>AL8-(AI8*AN9)</f>
        <v>6.1971592690225313E-2</v>
      </c>
      <c r="AM9" s="1">
        <f>AM8-(AH8*AN9)</f>
        <v>0.18466217413429084</v>
      </c>
      <c r="AN9" s="79">
        <f>(AF9-(AH8*AF8+AI8*AF7+AJ8*AF6+AK8*AF5+AL8*AF4+AM8*AF3))/(1-(AH8*AF3+AI8*AF4+AJ8*AF5+AK8*AF6+AL8*AF7+AM8*AF8))</f>
        <v>-0.18429625643271699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2"/>
      <c r="AZ9" s="2"/>
      <c r="BA9" s="2"/>
    </row>
    <row r="10" spans="1:53">
      <c r="A10" s="74">
        <v>8</v>
      </c>
      <c r="B10" s="5">
        <v>2.9443020799999982</v>
      </c>
      <c r="C10" s="75">
        <f t="shared" si="0"/>
        <v>1.1647593632690805</v>
      </c>
      <c r="D10" s="99">
        <f>SUMPRODUCT($C$3:INDEX($C$3:$C$52,ROWS(C11:$C$52)),C11:$C$52)</f>
        <v>13.485179753651879</v>
      </c>
      <c r="E10" s="105">
        <f t="shared" si="1"/>
        <v>1.918342041672674E-2</v>
      </c>
      <c r="F10" s="104">
        <f t="shared" si="2"/>
        <v>-0.48431925080542193</v>
      </c>
      <c r="G10" s="104">
        <f t="shared" si="3"/>
        <v>0.48431925080542193</v>
      </c>
      <c r="H10" s="1">
        <f>SQRT((1/COUNT($C$3:$C$52))*(1+2*SUMSQ($E$3:E10)))</f>
        <v>0.24710165857419486</v>
      </c>
      <c r="I10" s="1"/>
      <c r="J10" s="103">
        <f t="shared" si="4"/>
        <v>0.15120379611590021</v>
      </c>
      <c r="K10" s="103">
        <f t="shared" si="5"/>
        <v>-0.27718585822512665</v>
      </c>
      <c r="L10" s="103">
        <f t="shared" si="6"/>
        <v>0.27718585822512665</v>
      </c>
      <c r="M10" s="76">
        <f t="shared" si="7"/>
        <v>0.1414213562373095</v>
      </c>
      <c r="N10" s="1"/>
      <c r="O10" s="1"/>
      <c r="P10" s="98">
        <v>7</v>
      </c>
      <c r="Q10" s="97">
        <f t="shared" si="9"/>
        <v>-0.92177792000000025</v>
      </c>
      <c r="R10" s="75">
        <f t="shared" si="10"/>
        <v>-0.93626771591836766</v>
      </c>
      <c r="S10" s="99">
        <f>SUMPRODUCT($R$4:INDEX($R$4:$R$53,ROWS($R11:R$53)),$R11:R$53)</f>
        <v>-102.36502995731705</v>
      </c>
      <c r="T10" s="102">
        <f t="shared" si="11"/>
        <v>-0.24717810932101456</v>
      </c>
      <c r="U10" s="100">
        <f t="shared" si="12"/>
        <v>-0.34962485398307769</v>
      </c>
      <c r="V10" s="100">
        <f t="shared" si="13"/>
        <v>0.34962485398307769</v>
      </c>
      <c r="W10" s="1">
        <f>SQRT((1/COUNT($R$4:$R$52))*(1+2*SUMSQ($T$4:T10)))</f>
        <v>0.17838002754238658</v>
      </c>
      <c r="Z10" s="101">
        <f t="shared" si="14"/>
        <v>-0.22695857926700613</v>
      </c>
      <c r="AA10" s="100">
        <f t="shared" si="15"/>
        <v>-0.27999999999999997</v>
      </c>
      <c r="AB10" s="100">
        <f t="shared" si="16"/>
        <v>0.27999999999999997</v>
      </c>
      <c r="AC10" s="76">
        <f t="shared" si="17"/>
        <v>0.14285714285714285</v>
      </c>
      <c r="AE10" s="81">
        <v>8</v>
      </c>
      <c r="AF10" s="78">
        <f t="shared" si="8"/>
        <v>1.918342041672674E-2</v>
      </c>
      <c r="AG10" s="80">
        <f>AO10</f>
        <v>0.15120379611590021</v>
      </c>
      <c r="AH10" s="80">
        <f>AH9-(AN9*AO10)</f>
        <v>0.79217716600003729</v>
      </c>
      <c r="AI10" s="80">
        <f>AI9-(AM9*AO10)</f>
        <v>-0.12794898361875884</v>
      </c>
      <c r="AJ10" s="80">
        <f>AJ9-(AL9*AO10)</f>
        <v>0.22656104788755418</v>
      </c>
      <c r="AK10" s="1">
        <f>AK9-(AK9*AO10)</f>
        <v>-0.23791443598284379</v>
      </c>
      <c r="AL10" s="1">
        <f>AL9-(AJ9*AO10)</f>
        <v>2.6297871208738055E-2</v>
      </c>
      <c r="AM10" s="1">
        <f>AM9-(AI9*AO10)</f>
        <v>0.19978669096761434</v>
      </c>
      <c r="AN10" s="1">
        <f>AN9-(AH9*AO10)</f>
        <v>-0.29986296175489258</v>
      </c>
      <c r="AO10" s="79">
        <f>(AF10-(AH9*AF9+AI9*AF8+AJ9*AF7+AK9*AF6+AL9*AF5+AM9*AF4+AN9*AF3))/(1-(AH9*AF3+AI9*AF4+AJ9*AF5+AK9*AF6+AL9*AF7+AM9*AF8+AN9*AF9))</f>
        <v>0.15120379611590021</v>
      </c>
      <c r="AP10" s="1"/>
      <c r="AQ10" s="1"/>
      <c r="AR10" s="1"/>
      <c r="AS10" s="1"/>
      <c r="AT10" s="1"/>
      <c r="AU10" s="1"/>
      <c r="AV10" s="1"/>
      <c r="AW10" s="1"/>
      <c r="AX10" s="1"/>
      <c r="AY10" s="2"/>
      <c r="AZ10" s="2"/>
      <c r="BA10" s="2"/>
    </row>
    <row r="11" spans="1:53">
      <c r="A11" s="74">
        <v>9</v>
      </c>
      <c r="B11" s="5">
        <v>-0.12313113600000225</v>
      </c>
      <c r="C11" s="75">
        <f t="shared" si="0"/>
        <v>-1.9026738527309199</v>
      </c>
      <c r="D11" s="99">
        <f>SUMPRODUCT($C$3:INDEX($C$3:$C$52,ROWS(C12:$C$52)),C12:$C$52)</f>
        <v>-7.3461295834977944</v>
      </c>
      <c r="E11" s="105">
        <f t="shared" si="1"/>
        <v>-1.0450279107167906E-2</v>
      </c>
      <c r="F11" s="104">
        <f t="shared" si="2"/>
        <v>-0.48433657521404627</v>
      </c>
      <c r="G11" s="104">
        <f t="shared" si="3"/>
        <v>0.48433657521404627</v>
      </c>
      <c r="H11" s="1">
        <f>SQRT((1/COUNT($C$3:$C$52))*(1+2*SUMSQ($E$3:E11)))</f>
        <v>0.24711049755818687</v>
      </c>
      <c r="I11" s="1"/>
      <c r="J11" s="103">
        <f t="shared" si="4"/>
        <v>-0.16056467700472077</v>
      </c>
      <c r="K11" s="103">
        <f t="shared" si="5"/>
        <v>-0.27718585822512665</v>
      </c>
      <c r="L11" s="103">
        <f t="shared" si="6"/>
        <v>0.27718585822512665</v>
      </c>
      <c r="M11" s="76">
        <f t="shared" si="7"/>
        <v>0.1414213562373095</v>
      </c>
      <c r="N11" s="1"/>
      <c r="O11" s="1"/>
      <c r="P11" s="98">
        <v>8</v>
      </c>
      <c r="Q11" s="97">
        <f t="shared" si="9"/>
        <v>-3.0674332160000004</v>
      </c>
      <c r="R11" s="75">
        <f t="shared" si="10"/>
        <v>-3.0819230119183678</v>
      </c>
      <c r="S11" s="99">
        <f>SUMPRODUCT($R$4:INDEX($R$4:$R$53,ROWS($R12:R$53)),$R12:R$53)</f>
        <v>19.488847079753253</v>
      </c>
      <c r="T11" s="102">
        <f t="shared" si="11"/>
        <v>4.7059199572631501E-2</v>
      </c>
      <c r="U11" s="100">
        <f t="shared" si="12"/>
        <v>-0.35012109737424985</v>
      </c>
      <c r="V11" s="100">
        <f t="shared" si="13"/>
        <v>0.35012109737424985</v>
      </c>
      <c r="W11" s="1">
        <f>SQRT((1/COUNT($R$4:$R$52))*(1+2*SUMSQ($T$4:T11)))</f>
        <v>0.17863321294604584</v>
      </c>
      <c r="Z11" s="101">
        <f t="shared" si="14"/>
        <v>6.1701367644729978E-2</v>
      </c>
      <c r="AA11" s="100">
        <f t="shared" si="15"/>
        <v>-0.27999999999999997</v>
      </c>
      <c r="AB11" s="100">
        <f t="shared" si="16"/>
        <v>0.27999999999999997</v>
      </c>
      <c r="AC11" s="76">
        <f t="shared" si="17"/>
        <v>0.14285714285714285</v>
      </c>
      <c r="AE11" s="81">
        <v>9</v>
      </c>
      <c r="AF11" s="78">
        <f t="shared" si="8"/>
        <v>-1.0450279107167906E-2</v>
      </c>
      <c r="AG11" s="80">
        <f>AP11</f>
        <v>-0.16056467700472077</v>
      </c>
      <c r="AH11" s="80">
        <f>AH10-(AO10*AP11)</f>
        <v>0.81645515468527441</v>
      </c>
      <c r="AI11" s="80">
        <f>AI10-(AN10*AP11)</f>
        <v>-0.1760963832186121</v>
      </c>
      <c r="AJ11" s="80">
        <f>AJ10-(AM10*AP11)</f>
        <v>0.25863973339261115</v>
      </c>
      <c r="AK11" s="1">
        <f>AK10-(AL10*AP11)</f>
        <v>-0.23369192678630102</v>
      </c>
      <c r="AL11" s="1">
        <f>AL10-(AK10*AP11)</f>
        <v>-1.1902783359607573E-2</v>
      </c>
      <c r="AM11" s="1">
        <f>AM10-(AJ10*AP11)</f>
        <v>0.23616439244353055</v>
      </c>
      <c r="AN11" s="1">
        <f>AN10-(AI10*AP11)</f>
        <v>-0.32040704898272088</v>
      </c>
      <c r="AO11" s="1">
        <f>AO10-(AH10*AP11)</f>
        <v>0.27839946690521122</v>
      </c>
      <c r="AP11" s="79">
        <f>(AF11-(AH10*AF10+AI10*AF9+AJ10*AF8+AK10*AF7+AL10*AF6+AM10*AF5+AN10*AF4+AO10*AF3))/(1-(AH10*AF3+AI10*AF4+AJ10*AF5+AK10*AF6+AL10*AF7+AM10*AF8+AN10*AF9+AO10*AF10))</f>
        <v>-0.16056467700472077</v>
      </c>
      <c r="AQ11" s="1"/>
      <c r="AR11" s="1"/>
      <c r="AS11" s="1"/>
      <c r="AT11" s="1"/>
      <c r="AU11" s="1"/>
      <c r="AV11" s="1"/>
      <c r="AW11" s="1"/>
      <c r="AX11" s="1"/>
      <c r="AY11" s="2"/>
      <c r="AZ11" s="2"/>
      <c r="BA11" s="2"/>
    </row>
    <row r="12" spans="1:53">
      <c r="A12" s="74">
        <v>10</v>
      </c>
      <c r="B12" s="5">
        <v>4.9504067583999998</v>
      </c>
      <c r="C12" s="75">
        <f t="shared" si="0"/>
        <v>3.1708640416690823</v>
      </c>
      <c r="D12" s="99">
        <f>SUMPRODUCT($C$3:INDEX($C$3:$C$52,ROWS(C13:$C$52)),C13:$C$52)</f>
        <v>-53.821275573127508</v>
      </c>
      <c r="E12" s="105">
        <f t="shared" si="1"/>
        <v>-7.6563766708723974E-2</v>
      </c>
      <c r="F12" s="104">
        <f t="shared" si="2"/>
        <v>-0.4852655953722364</v>
      </c>
      <c r="G12" s="104">
        <f t="shared" si="3"/>
        <v>0.4852655953722364</v>
      </c>
      <c r="H12" s="1">
        <f>SQRT((1/COUNT($C$3:$C$52))*(1+2*SUMSQ($E$3:E12)))</f>
        <v>0.24758448743481448</v>
      </c>
      <c r="I12" s="1"/>
      <c r="J12" s="103">
        <f t="shared" si="4"/>
        <v>6.1712181103150306E-2</v>
      </c>
      <c r="K12" s="103">
        <f t="shared" si="5"/>
        <v>-0.27718585822512665</v>
      </c>
      <c r="L12" s="103">
        <f t="shared" si="6"/>
        <v>0.27718585822512665</v>
      </c>
      <c r="M12" s="76">
        <f t="shared" si="7"/>
        <v>0.1414213562373095</v>
      </c>
      <c r="N12" s="1"/>
      <c r="O12" s="1"/>
      <c r="P12" s="98">
        <v>9</v>
      </c>
      <c r="Q12" s="97">
        <f t="shared" si="9"/>
        <v>5.073537894400002</v>
      </c>
      <c r="R12" s="75">
        <f t="shared" si="10"/>
        <v>5.0590480984816351</v>
      </c>
      <c r="S12" s="99">
        <f>SUMPRODUCT($R$4:INDEX($R$4:$R$53,ROWS($R13:R$53)),$R13:R$53)</f>
        <v>26.786138110246021</v>
      </c>
      <c r="T12" s="102">
        <f t="shared" si="11"/>
        <v>6.467977371630633E-2</v>
      </c>
      <c r="U12" s="100">
        <f t="shared" si="12"/>
        <v>-0.35105662137754673</v>
      </c>
      <c r="V12" s="100">
        <f t="shared" si="13"/>
        <v>0.35105662137754673</v>
      </c>
      <c r="W12" s="1">
        <f>SQRT((1/COUNT($R$4:$R$52))*(1+2*SUMSQ($T$4:T12)))</f>
        <v>0.17911052111099324</v>
      </c>
      <c r="Z12" s="101">
        <f t="shared" si="14"/>
        <v>-0.13208176922036657</v>
      </c>
      <c r="AA12" s="100">
        <f t="shared" si="15"/>
        <v>-0.27999999999999997</v>
      </c>
      <c r="AB12" s="100">
        <f t="shared" si="16"/>
        <v>0.27999999999999997</v>
      </c>
      <c r="AC12" s="76">
        <f t="shared" si="17"/>
        <v>0.14285714285714285</v>
      </c>
      <c r="AE12" s="81">
        <v>10</v>
      </c>
      <c r="AF12" s="78">
        <f t="shared" si="8"/>
        <v>-7.6563766708723974E-2</v>
      </c>
      <c r="AG12" s="80">
        <f>AQ12</f>
        <v>6.1712181103150306E-2</v>
      </c>
      <c r="AH12" s="80">
        <f>AH11-(AP11*AQ12)</f>
        <v>0.82636395111135852</v>
      </c>
      <c r="AI12" s="80">
        <f>AI11-(AO11*AQ12)</f>
        <v>-0.193277021539287</v>
      </c>
      <c r="AJ12" s="80">
        <f>AJ11-(AN11*AQ12)</f>
        <v>0.27841275122615877</v>
      </c>
      <c r="AK12" s="1">
        <f>AK11-(AM11*AQ12)</f>
        <v>-0.24826614654289164</v>
      </c>
      <c r="AL12" s="1">
        <f>AL11-(AL11*AQ12)</f>
        <v>-1.1168236637287906E-2</v>
      </c>
      <c r="AM12" s="1">
        <f>AM11-(AK11*AQ12)</f>
        <v>0.25058603095171089</v>
      </c>
      <c r="AN12" s="1">
        <f>AN11-(AJ11*AQ12)</f>
        <v>-0.33636827105031619</v>
      </c>
      <c r="AO12" s="1">
        <f>AO11-(AI11*AQ12)</f>
        <v>0.28926675879800795</v>
      </c>
      <c r="AP12" s="1">
        <f>AP11-(AH11*AQ12)</f>
        <v>-0.21094990537325903</v>
      </c>
      <c r="AQ12" s="79">
        <f>(AF12-(AH11*AF11+AI11*AF10+AJ11*AF9+AK11*AF8+AL11*AF7+AM11*AF6+AN11*AF5+AO11*AF4+AP11*AF3))/(1-(AH11*AF3+AI11*AF4+AJ11*AF5+AK11*AF6+AL11*AF7+AM11*AF8+AN11*AF9+AO11*AF10+AP11*AF11))</f>
        <v>6.1712181103150306E-2</v>
      </c>
      <c r="AR12" s="1"/>
      <c r="AS12" s="1"/>
      <c r="AT12" s="1"/>
      <c r="AU12" s="1"/>
      <c r="AV12" s="1"/>
      <c r="AW12" s="1"/>
      <c r="AX12" s="1"/>
      <c r="AY12" s="2"/>
      <c r="AZ12" s="2"/>
      <c r="BA12" s="2"/>
    </row>
    <row r="13" spans="1:53">
      <c r="A13" s="74">
        <v>11</v>
      </c>
      <c r="B13" s="5">
        <v>3.2800263884799983</v>
      </c>
      <c r="C13" s="75">
        <f t="shared" si="0"/>
        <v>1.5004836717490806</v>
      </c>
      <c r="D13" s="99">
        <f>SUMPRODUCT($C$3:INDEX($C$3:$C$52,ROWS(C14:$C$52)),C14:$C$52)</f>
        <v>-9.4489897167500061</v>
      </c>
      <c r="E13" s="105">
        <f t="shared" si="1"/>
        <v>-1.3441714946414085E-2</v>
      </c>
      <c r="F13" s="104">
        <f t="shared" si="2"/>
        <v>-0.48529420150821856</v>
      </c>
      <c r="G13" s="104">
        <f t="shared" si="3"/>
        <v>0.48529420150821856</v>
      </c>
      <c r="H13" s="1">
        <f>SQRT((1/COUNT($C$3:$C$52))*(1+2*SUMSQ($E$3:E13)))</f>
        <v>0.24759908240215234</v>
      </c>
      <c r="I13" s="1"/>
      <c r="J13" s="103">
        <f t="shared" si="4"/>
        <v>5.7630126988092459E-2</v>
      </c>
      <c r="K13" s="103">
        <f t="shared" si="5"/>
        <v>-0.27718585822512665</v>
      </c>
      <c r="L13" s="103">
        <f t="shared" si="6"/>
        <v>0.27718585822512665</v>
      </c>
      <c r="M13" s="76">
        <f t="shared" si="7"/>
        <v>0.1414213562373095</v>
      </c>
      <c r="N13" s="1"/>
      <c r="O13" s="1"/>
      <c r="P13" s="98">
        <v>10</v>
      </c>
      <c r="Q13" s="97">
        <f t="shared" si="9"/>
        <v>-1.6703803699200015</v>
      </c>
      <c r="R13" s="75">
        <f t="shared" si="10"/>
        <v>-1.6848701658383689</v>
      </c>
      <c r="S13" s="99">
        <f>SUMPRODUCT($R$4:INDEX($R$4:$R$53,ROWS($R14:R$53)),$R14:R$53)</f>
        <v>-84.757988785356019</v>
      </c>
      <c r="T13" s="102">
        <f t="shared" si="11"/>
        <v>-0.20466285631481446</v>
      </c>
      <c r="U13" s="100">
        <f t="shared" si="12"/>
        <v>-0.36028962647097201</v>
      </c>
      <c r="V13" s="100">
        <f t="shared" si="13"/>
        <v>0.36028962647097201</v>
      </c>
      <c r="W13" s="1">
        <f>SQRT((1/COUNT($R$4:$R$52))*(1+2*SUMSQ($T$4:T13)))</f>
        <v>0.18382123799539388</v>
      </c>
      <c r="Z13" s="101">
        <f t="shared" si="14"/>
        <v>-0.11252631430978571</v>
      </c>
      <c r="AA13" s="100">
        <f t="shared" si="15"/>
        <v>-0.27999999999999997</v>
      </c>
      <c r="AB13" s="100">
        <f t="shared" si="16"/>
        <v>0.27999999999999997</v>
      </c>
      <c r="AC13" s="76">
        <f t="shared" si="17"/>
        <v>0.14285714285714285</v>
      </c>
      <c r="AE13" s="81">
        <v>11</v>
      </c>
      <c r="AF13" s="78">
        <f t="shared" si="8"/>
        <v>-1.3441714946414085E-2</v>
      </c>
      <c r="AG13" s="80">
        <f>AR13</f>
        <v>5.7630126988092459E-2</v>
      </c>
      <c r="AH13" s="80">
        <f>AH12-(AQ12*AR13)</f>
        <v>0.82280747027767176</v>
      </c>
      <c r="AI13" s="80">
        <f>AI12-(AP12*AR13)</f>
        <v>-0.18111995170449999</v>
      </c>
      <c r="AJ13" s="80">
        <f>AJ12-(AO12*AR13)</f>
        <v>0.26174227118319565</v>
      </c>
      <c r="AK13" s="1">
        <f>AK12-(AN12*AR13)</f>
        <v>-0.22888120036749682</v>
      </c>
      <c r="AL13" s="1">
        <f>AL12-(AM12*AR13)</f>
        <v>-2.5609541422477074E-2</v>
      </c>
      <c r="AM13" s="1">
        <f>AM12-(AL12*AR13)</f>
        <v>0.25122965784735085</v>
      </c>
      <c r="AN13" s="1">
        <f>AN12-(AK12*AR13)</f>
        <v>-0.322060661498205</v>
      </c>
      <c r="AO13" s="1">
        <f>AO12-(AJ12*AR13)</f>
        <v>0.27322179658974022</v>
      </c>
      <c r="AP13" s="1">
        <f>AP12-(AI12*AR13)</f>
        <v>-0.19981132607806965</v>
      </c>
      <c r="AQ13" s="1">
        <f>AQ12-(AH12*AR13)</f>
        <v>1.4088721662220888E-2</v>
      </c>
      <c r="AR13" s="79">
        <f>(AF13-(AH12*AF12+AI12*AF11+AJ12*AF10+AK12*AF9+AL12*AF8+AM12*AF7+AN12*AF6+AO12*AF5+AP12*AF4+AQ12*AF3))/(1-(AH12*AF3+AI12*AF4+AJ12*AF5+AK12*AF6+AL12*AF7+AM12*AF8+AN12*AF9+AO12*AF10+AP12*AF11+AQ12*AF12))</f>
        <v>5.7630126988092459E-2</v>
      </c>
      <c r="AS13" s="1"/>
      <c r="AT13" s="1"/>
      <c r="AU13" s="1"/>
      <c r="AV13" s="1"/>
      <c r="AW13" s="1"/>
      <c r="AX13" s="1"/>
      <c r="AY13" s="2"/>
      <c r="AZ13" s="2"/>
      <c r="BA13" s="2"/>
    </row>
    <row r="14" spans="1:53">
      <c r="A14" s="74">
        <v>12</v>
      </c>
      <c r="B14" s="5">
        <v>-8.8043970560002904E-2</v>
      </c>
      <c r="C14" s="75">
        <f t="shared" si="0"/>
        <v>-1.8675866872909206</v>
      </c>
      <c r="D14" s="99">
        <f>SUMPRODUCT($C$3:INDEX($C$3:$C$52,ROWS(C15:$C$52)),C15:$C$52)</f>
        <v>20.151171013687669</v>
      </c>
      <c r="E14" s="105">
        <f t="shared" si="1"/>
        <v>2.8666164819956715E-2</v>
      </c>
      <c r="F14" s="104">
        <f t="shared" si="2"/>
        <v>-0.4854242837525522</v>
      </c>
      <c r="G14" s="104">
        <f t="shared" si="3"/>
        <v>0.4854242837525522</v>
      </c>
      <c r="H14" s="1">
        <f>SQRT((1/COUNT($C$3:$C$52))*(1+2*SUMSQ($E$3:E14)))</f>
        <v>0.24766545089415928</v>
      </c>
      <c r="I14" s="1"/>
      <c r="J14" s="103">
        <f t="shared" si="4"/>
        <v>4.9158830755738896E-2</v>
      </c>
      <c r="K14" s="103">
        <f t="shared" si="5"/>
        <v>-0.27718585822512665</v>
      </c>
      <c r="L14" s="103">
        <f t="shared" si="6"/>
        <v>0.27718585822512665</v>
      </c>
      <c r="M14" s="76">
        <f t="shared" si="7"/>
        <v>0.1414213562373095</v>
      </c>
      <c r="N14" s="1"/>
      <c r="O14" s="1"/>
      <c r="P14" s="98">
        <v>11</v>
      </c>
      <c r="Q14" s="97">
        <f t="shared" si="9"/>
        <v>-3.3680703590400012</v>
      </c>
      <c r="R14" s="75">
        <f t="shared" si="10"/>
        <v>-3.3825601549583686</v>
      </c>
      <c r="S14" s="99">
        <f>SUMPRODUCT($R$4:INDEX($R$4:$R$53,ROWS($R15:R$53)),$R15:R$53)</f>
        <v>4.8381498336167148</v>
      </c>
      <c r="T14" s="102">
        <f t="shared" si="11"/>
        <v>1.1682551443435385E-2</v>
      </c>
      <c r="U14" s="100">
        <f t="shared" si="12"/>
        <v>-0.36031932410222289</v>
      </c>
      <c r="V14" s="100">
        <f t="shared" si="13"/>
        <v>0.36031932410222289</v>
      </c>
      <c r="W14" s="1">
        <f>SQRT((1/COUNT($R$4:$R$52))*(1+2*SUMSQ($T$4:T14)))</f>
        <v>0.18383638984807291</v>
      </c>
      <c r="Z14" s="101">
        <f t="shared" si="14"/>
        <v>-0.11311895824433384</v>
      </c>
      <c r="AA14" s="100">
        <f t="shared" si="15"/>
        <v>-0.27999999999999997</v>
      </c>
      <c r="AB14" s="100">
        <f t="shared" si="16"/>
        <v>0.27999999999999997</v>
      </c>
      <c r="AC14" s="76">
        <f t="shared" si="17"/>
        <v>0.14285714285714285</v>
      </c>
      <c r="AE14" s="81">
        <v>12</v>
      </c>
      <c r="AF14" s="78">
        <f t="shared" si="8"/>
        <v>2.8666164819956715E-2</v>
      </c>
      <c r="AG14" s="80">
        <f>AS14</f>
        <v>4.9158830755738896E-2</v>
      </c>
      <c r="AH14" s="80">
        <f>AH13-(AR13*AS14)</f>
        <v>0.81997444061863234</v>
      </c>
      <c r="AI14" s="80">
        <f>AI13-(AQ13*AS14)</f>
        <v>-0.18181253678825782</v>
      </c>
      <c r="AJ14" s="80">
        <f>AJ13-(AP13*AS14)</f>
        <v>0.27156476234494725</v>
      </c>
      <c r="AK14" s="1">
        <f>AK13-(AO13*AS14)</f>
        <v>-0.24231246442483079</v>
      </c>
      <c r="AL14" s="1">
        <f>AL13-(AN13*AS14)</f>
        <v>-9.7774158708055017E-3</v>
      </c>
      <c r="AM14" s="1">
        <f>AM13-(AM13*AS14)</f>
        <v>0.23887950161641075</v>
      </c>
      <c r="AN14" s="1">
        <f>AN13-(AL13*AS14)</f>
        <v>-0.32080172638568538</v>
      </c>
      <c r="AO14" s="1">
        <f>AO13-(AK13*AS14)</f>
        <v>0.28447332878177634</v>
      </c>
      <c r="AP14" s="1">
        <f>AP13-(AJ13*AS14)</f>
        <v>-0.21267827008878706</v>
      </c>
      <c r="AQ14" s="1">
        <f>AQ13-(AI13*AS14)</f>
        <v>2.2992366714550003E-2</v>
      </c>
      <c r="AR14" s="1">
        <f>AR13-(AH13*AS14)</f>
        <v>1.7181873812154733E-2</v>
      </c>
      <c r="AS14" s="79">
        <f>(AF14-(AH13*AF13+AI13*AF12+AJ13*AF11+AK13*AF10+AL13*AF9+AM13*AF8+AN13*AF7+AO13*AF6+AP13*AF5+AQ13*AF4+AR13*AF3))/(1-(AH13*AF3+AI13*AF4+AJ13*AF5+AK13*AF6+AL13*AF7+AM13*AF8+AN13*AF9+AO13*AF10+AP13*AF11+AQ13*AF12+AR13*AF13))</f>
        <v>4.9158830755738896E-2</v>
      </c>
      <c r="AT14" s="1"/>
      <c r="AU14" s="1"/>
      <c r="AV14" s="1"/>
      <c r="AW14" s="1"/>
      <c r="AX14" s="1"/>
      <c r="AY14" s="2"/>
      <c r="AZ14" s="2"/>
      <c r="BA14" s="2"/>
    </row>
    <row r="15" spans="1:53">
      <c r="A15" s="74">
        <v>13</v>
      </c>
      <c r="B15" s="5">
        <v>2.8647606013951963</v>
      </c>
      <c r="C15" s="75">
        <f t="shared" si="0"/>
        <v>1.0852178846642786</v>
      </c>
      <c r="D15" s="99">
        <f>SUMPRODUCT($C$3:INDEX($C$3:$C$52,ROWS(C16:$C$52)),C16:$C$52)</f>
        <v>-6.3185275484254841</v>
      </c>
      <c r="E15" s="105">
        <f t="shared" si="1"/>
        <v>-8.9884578915821276E-3</v>
      </c>
      <c r="F15" s="104">
        <f t="shared" si="2"/>
        <v>-0.48543707124222768</v>
      </c>
      <c r="G15" s="104">
        <f t="shared" si="3"/>
        <v>0.48543707124222768</v>
      </c>
      <c r="H15" s="1">
        <f>SQRT((1/COUNT($C$3:$C$52))*(1+2*SUMSQ($E$3:E15)))</f>
        <v>0.24767197512358555</v>
      </c>
      <c r="I15" s="1"/>
      <c r="J15" s="103">
        <f t="shared" si="4"/>
        <v>-4.7960665210238222E-2</v>
      </c>
      <c r="K15" s="103">
        <f t="shared" si="5"/>
        <v>-0.27718585822512665</v>
      </c>
      <c r="L15" s="103">
        <f t="shared" si="6"/>
        <v>0.27718585822512665</v>
      </c>
      <c r="M15" s="76">
        <f t="shared" si="7"/>
        <v>0.1414213562373095</v>
      </c>
      <c r="N15" s="1"/>
      <c r="O15" s="1"/>
      <c r="P15" s="98">
        <v>12</v>
      </c>
      <c r="Q15" s="97">
        <f t="shared" si="9"/>
        <v>2.9528045719551992</v>
      </c>
      <c r="R15" s="75">
        <f t="shared" si="10"/>
        <v>2.9383147760368318</v>
      </c>
      <c r="S15" s="99">
        <f>SUMPRODUCT($R$4:INDEX($R$4:$R$53,ROWS($R16:R$53)),$R16:R$53)</f>
        <v>60.452766227394548</v>
      </c>
      <c r="T15" s="102">
        <f t="shared" si="11"/>
        <v>0.14597368325436191</v>
      </c>
      <c r="U15" s="100">
        <f t="shared" si="12"/>
        <v>-0.36492623816613801</v>
      </c>
      <c r="V15" s="100">
        <f t="shared" si="13"/>
        <v>0.36492623816613801</v>
      </c>
      <c r="W15" s="1">
        <f>SQRT((1/COUNT($R$4:$R$52))*(1+2*SUMSQ($T$4:T15)))</f>
        <v>0.18618685620721326</v>
      </c>
      <c r="Z15" s="101">
        <f t="shared" si="14"/>
        <v>3.6600657857219139E-3</v>
      </c>
      <c r="AA15" s="100">
        <f t="shared" si="15"/>
        <v>-0.27999999999999997</v>
      </c>
      <c r="AB15" s="100">
        <f t="shared" si="16"/>
        <v>0.27999999999999997</v>
      </c>
      <c r="AC15" s="76">
        <f t="shared" si="17"/>
        <v>0.14285714285714285</v>
      </c>
      <c r="AE15" s="81">
        <v>13</v>
      </c>
      <c r="AF15" s="78">
        <f t="shared" si="8"/>
        <v>-8.9884578915821276E-3</v>
      </c>
      <c r="AG15" s="80">
        <f>AT15</f>
        <v>-4.7960665210238222E-2</v>
      </c>
      <c r="AH15" s="80">
        <f>AH14-(AS14*AT15)</f>
        <v>0.82233213084263512</v>
      </c>
      <c r="AI15" s="80">
        <f>AI14-(AR14*AT15)</f>
        <v>-0.1809884826906685</v>
      </c>
      <c r="AJ15" s="80">
        <f>AJ14-(AQ14*AT15)</f>
        <v>0.27266749154733483</v>
      </c>
      <c r="AK15" s="1">
        <f>AK14-(AP14*AT15)</f>
        <v>-0.25251265573405174</v>
      </c>
      <c r="AL15" s="1">
        <f>AL14-(AO14*AT15)</f>
        <v>3.8661142121392978E-3</v>
      </c>
      <c r="AM15" s="1">
        <f>AM14-(AN14*AT15)</f>
        <v>0.22349363741836045</v>
      </c>
      <c r="AN15" s="1">
        <f>AN14-(AM14*AT15)</f>
        <v>-0.30934490658307212</v>
      </c>
      <c r="AO15" s="1">
        <f>AO14-(AL14*AT15)</f>
        <v>0.28400439741257538</v>
      </c>
      <c r="AP15" s="1">
        <f>AP14-(AK14*AT15)</f>
        <v>-0.22429973707133413</v>
      </c>
      <c r="AQ15" s="1">
        <f>AQ14-(AJ14*AT15)</f>
        <v>3.6016793364273922E-2</v>
      </c>
      <c r="AR15" s="1">
        <f>AR14-(AI14*AT15)</f>
        <v>8.4620236042289784E-3</v>
      </c>
      <c r="AS15" s="1">
        <f>AS14-(AH14*AT15)</f>
        <v>8.8485350383201489E-2</v>
      </c>
      <c r="AT15" s="79">
        <f>(AF15-(AH14*AF14+AI14*AF13+AJ14*AF12+AK14*AF11+AL14*AF10+AM14*AF9+AN14*AF8+AO14*AF7+AP14*AF6+AQ14*AF5+AR14*AF4+AS14*AF3))/(1-(AH14*AF3+AI14*AF4+AJ14*AF5+AK14*AF6+AL14*AF7+AM14*AF8+AN14*AF9+AO14*AF10+AP14*AF11+AQ14*AF12+AR14*AF13+AS14*AF14))</f>
        <v>-4.7960665210238222E-2</v>
      </c>
      <c r="AU15" s="1"/>
      <c r="AV15" s="1"/>
      <c r="AW15" s="1"/>
      <c r="AX15" s="1"/>
      <c r="AY15" s="2"/>
      <c r="AZ15" s="2"/>
      <c r="BA15" s="2"/>
    </row>
    <row r="16" spans="1:53">
      <c r="A16" s="74">
        <v>14</v>
      </c>
      <c r="B16" s="5">
        <v>3.345895516405756</v>
      </c>
      <c r="C16" s="75">
        <f t="shared" si="0"/>
        <v>1.5663527996748383</v>
      </c>
      <c r="D16" s="99">
        <f>SUMPRODUCT($C$3:INDEX($C$3:$C$52,ROWS(C17:$C$52)),C17:$C$52)</f>
        <v>9.7850075312844051</v>
      </c>
      <c r="E16" s="105">
        <f t="shared" si="1"/>
        <v>1.3919719031007579E-2</v>
      </c>
      <c r="F16" s="104">
        <f t="shared" si="2"/>
        <v>-0.48546773719202635</v>
      </c>
      <c r="G16" s="104">
        <f t="shared" si="3"/>
        <v>0.48546773719202635</v>
      </c>
      <c r="H16" s="1">
        <f>SQRT((1/COUNT($C$3:$C$52))*(1+2*SUMSQ($E$3:E16)))</f>
        <v>0.24768762101633998</v>
      </c>
      <c r="I16" s="1"/>
      <c r="J16" s="103">
        <f t="shared" si="4"/>
        <v>-5.372183300272431E-2</v>
      </c>
      <c r="K16" s="103">
        <f t="shared" si="5"/>
        <v>-0.27718585822512665</v>
      </c>
      <c r="L16" s="103">
        <f t="shared" si="6"/>
        <v>0.27718585822512665</v>
      </c>
      <c r="M16" s="76">
        <f t="shared" si="7"/>
        <v>0.1414213562373095</v>
      </c>
      <c r="N16" s="1"/>
      <c r="O16" s="1"/>
      <c r="P16" s="98">
        <v>13</v>
      </c>
      <c r="Q16" s="97">
        <f t="shared" si="9"/>
        <v>0.48113491501055972</v>
      </c>
      <c r="R16" s="75">
        <f t="shared" si="10"/>
        <v>0.46664511909219231</v>
      </c>
      <c r="S16" s="99">
        <f>SUMPRODUCT($R$4:INDEX($R$4:$R$53,ROWS($R17:R$53)),$R17:R$53)</f>
        <v>-42.594880862318554</v>
      </c>
      <c r="T16" s="102">
        <f t="shared" si="11"/>
        <v>-0.10285272346124281</v>
      </c>
      <c r="U16" s="100">
        <f t="shared" si="12"/>
        <v>-0.36719190725439083</v>
      </c>
      <c r="V16" s="100">
        <f t="shared" si="13"/>
        <v>0.36719190725439083</v>
      </c>
      <c r="W16" s="1">
        <f>SQRT((1/COUNT($R$4:$R$52))*(1+2*SUMSQ($T$4:T16)))</f>
        <v>0.1873428098236688</v>
      </c>
      <c r="Z16" s="101">
        <f t="shared" si="14"/>
        <v>-1.7231463230406509E-2</v>
      </c>
      <c r="AA16" s="100">
        <f t="shared" si="15"/>
        <v>-0.27999999999999997</v>
      </c>
      <c r="AB16" s="100">
        <f t="shared" si="16"/>
        <v>0.27999999999999997</v>
      </c>
      <c r="AC16" s="76">
        <f t="shared" si="17"/>
        <v>0.14285714285714285</v>
      </c>
      <c r="AE16" s="81">
        <v>14</v>
      </c>
      <c r="AF16" s="78">
        <f t="shared" si="8"/>
        <v>1.3919719031007579E-2</v>
      </c>
      <c r="AG16" s="80">
        <f>AU16</f>
        <v>-5.372183300272431E-2</v>
      </c>
      <c r="AH16" s="80">
        <f>AH15-(AT15*AU16)</f>
        <v>0.81975559599551118</v>
      </c>
      <c r="AI16" s="80">
        <f>AI15-(AS15*AU16)</f>
        <v>-0.17623488747419461</v>
      </c>
      <c r="AJ16" s="80">
        <f>AJ15-(AR15*AU16)</f>
        <v>0.27312208696626633</v>
      </c>
      <c r="AK16" s="1">
        <f>AK15-(AQ15*AU16)</f>
        <v>-0.2505777675756426</v>
      </c>
      <c r="AL16" s="1">
        <f>AL15-(AP15*AU16)</f>
        <v>-8.1836788053618863E-3</v>
      </c>
      <c r="AM16" s="1">
        <f>AM15-(AO15*AU16)</f>
        <v>0.23875087422819818</v>
      </c>
      <c r="AN16" s="1">
        <f>AN15-(AN15*AU16)</f>
        <v>-0.32596348199477126</v>
      </c>
      <c r="AO16" s="1">
        <f>AO15-(AM15*AU16)</f>
        <v>0.29601088527913594</v>
      </c>
      <c r="AP16" s="1">
        <f>AP15-(AL15*AU16)</f>
        <v>-0.22409204232926014</v>
      </c>
      <c r="AQ16" s="1">
        <f>AQ15-(AK15*AU16)</f>
        <v>2.245135064185478E-2</v>
      </c>
      <c r="AR16" s="1">
        <f>AR15-(AJ15*AU16)</f>
        <v>2.3110221050406644E-2</v>
      </c>
      <c r="AS16" s="1">
        <f>AS15-(AI15*AU16)</f>
        <v>7.8762317340676929E-2</v>
      </c>
      <c r="AT16" s="1">
        <f>AT15-(AH15*AU16)</f>
        <v>-3.7834758043357383E-3</v>
      </c>
      <c r="AU16" s="79">
        <f>(AF16-(AH15*AF15+AI15*AF14+AJ15*AF13+AK15*AF12+AL15*AF11+AM15*AF10+AN15*AF9+AO15*AF8+AP15*AF7+AQ15*AF6+AR15*AF5+AS15*AF4+AT15*AF3))/(1-(AH15*AF3+AI15*AF4+AJ15*AF5+AK15*AF6+AL15*AF7+AM15*AF8+AN15*AF9+AO15*AF10+AP15*AF11+AQ15*AF12+AR15*AF13+AS15*AF14+AT15*AF15))</f>
        <v>-5.372183300272431E-2</v>
      </c>
      <c r="AV16" s="1"/>
      <c r="AW16" s="1"/>
      <c r="AX16" s="1"/>
      <c r="AY16" s="2"/>
      <c r="AZ16" s="2"/>
      <c r="BA16" s="2"/>
    </row>
    <row r="17" spans="1:53">
      <c r="A17" s="74">
        <v>15</v>
      </c>
      <c r="B17" s="5">
        <v>1.8383547169013719</v>
      </c>
      <c r="C17" s="75">
        <f t="shared" si="0"/>
        <v>5.8812000170454182E-2</v>
      </c>
      <c r="D17" s="99">
        <f>SUMPRODUCT($C$3:INDEX($C$3:$C$52,ROWS(C18:$C$52)),C18:$C$52)</f>
        <v>21.178351551576966</v>
      </c>
      <c r="E17" s="105">
        <f t="shared" si="1"/>
        <v>3.0127386432288111E-2</v>
      </c>
      <c r="F17" s="104">
        <f t="shared" si="2"/>
        <v>-0.48561136563143015</v>
      </c>
      <c r="G17" s="104">
        <f t="shared" si="3"/>
        <v>0.48561136563143015</v>
      </c>
      <c r="H17" s="1">
        <f>SQRT((1/COUNT($C$3:$C$52))*(1+2*SUMSQ($E$3:E17)))</f>
        <v>0.24776090083236232</v>
      </c>
      <c r="I17" s="1"/>
      <c r="J17" s="103">
        <f t="shared" si="4"/>
        <v>0.10442496575142324</v>
      </c>
      <c r="K17" s="103">
        <f t="shared" si="5"/>
        <v>-0.27718585822512665</v>
      </c>
      <c r="L17" s="103">
        <f t="shared" si="6"/>
        <v>0.27718585822512665</v>
      </c>
      <c r="M17" s="76">
        <f t="shared" si="7"/>
        <v>0.1414213562373095</v>
      </c>
      <c r="N17" s="1"/>
      <c r="O17" s="1"/>
      <c r="P17" s="98">
        <v>14</v>
      </c>
      <c r="Q17" s="97">
        <f t="shared" si="9"/>
        <v>-1.5075407995043841</v>
      </c>
      <c r="R17" s="75">
        <f t="shared" si="10"/>
        <v>-1.5220305954227515</v>
      </c>
      <c r="S17" s="99">
        <f>SUMPRODUCT($R$4:INDEX($R$4:$R$53,ROWS($R18:R$53)),$R18:R$53)</f>
        <v>-4.2906948102910771</v>
      </c>
      <c r="T17" s="102">
        <f t="shared" si="11"/>
        <v>-1.0360626390901852E-2</v>
      </c>
      <c r="U17" s="100">
        <f t="shared" si="12"/>
        <v>-0.36721482550346135</v>
      </c>
      <c r="V17" s="100">
        <f t="shared" si="13"/>
        <v>0.36721482550346135</v>
      </c>
      <c r="W17" s="1">
        <f>SQRT((1/COUNT($R$4:$R$52))*(1+2*SUMSQ($T$4:T17)))</f>
        <v>0.18735450280788846</v>
      </c>
      <c r="Z17" s="101">
        <f t="shared" si="14"/>
        <v>-0.14984868598341647</v>
      </c>
      <c r="AA17" s="100">
        <f t="shared" si="15"/>
        <v>-0.27999999999999997</v>
      </c>
      <c r="AB17" s="100">
        <f t="shared" si="16"/>
        <v>0.27999999999999997</v>
      </c>
      <c r="AC17" s="76">
        <f t="shared" si="17"/>
        <v>0.14285714285714285</v>
      </c>
      <c r="AE17" s="81">
        <v>15</v>
      </c>
      <c r="AF17" s="78">
        <f t="shared" si="8"/>
        <v>3.0127386432288111E-2</v>
      </c>
      <c r="AG17" s="80">
        <f>AV17</f>
        <v>0.10442496575142324</v>
      </c>
      <c r="AH17" s="80">
        <f>AH16-(AU16*AV17)</f>
        <v>0.82536549656692437</v>
      </c>
      <c r="AI17" s="80">
        <f>AI16-(AT16*AV17)</f>
        <v>-0.17583979814290551</v>
      </c>
      <c r="AJ17" s="80">
        <f>AJ16-(AS16*AV17)</f>
        <v>0.26489733467546339</v>
      </c>
      <c r="AK17" s="1">
        <f>AK16-(AR16*AV17)</f>
        <v>-0.25299105161733915</v>
      </c>
      <c r="AL17" s="1">
        <f>AL16-(AQ16*AV17)</f>
        <v>-1.0528160327210765E-2</v>
      </c>
      <c r="AM17" s="1">
        <f>AM16-(AP16*AV17)</f>
        <v>0.26215167807359768</v>
      </c>
      <c r="AN17" s="1">
        <f>AN16-(AO16*AV17)</f>
        <v>-0.35687440855209351</v>
      </c>
      <c r="AO17" s="1">
        <f>AO16-(AN16*AV17)</f>
        <v>0.3300496107226546</v>
      </c>
      <c r="AP17" s="1">
        <f>AP16-(AM16*AV17)</f>
        <v>-0.2490235941936621</v>
      </c>
      <c r="AQ17" s="1">
        <f>AQ16-(AL16*AV17)</f>
        <v>2.3305931020825343E-2</v>
      </c>
      <c r="AR17" s="1">
        <f>AR16-(AK16*AV17)</f>
        <v>4.9276795847561214E-2</v>
      </c>
      <c r="AS17" s="1">
        <f>AS16-(AJ16*AV17)</f>
        <v>5.0241552763267333E-2</v>
      </c>
      <c r="AT17" s="1">
        <f>AT16-(AI16*AV17)</f>
        <v>1.4619846284362963E-2</v>
      </c>
      <c r="AU17" s="1">
        <f>AU16-(AH16*AV17)</f>
        <v>-0.1393247830390931</v>
      </c>
      <c r="AV17" s="79">
        <f>(AF17-(AH16*AF16+AI16*AF15+AJ16*AF14+AK16*AF13+AL16*AF12+AM16*AF11+AN16*AF10+AO16*AF9+AP16*AF8+AQ16*AF7+AR16*AF6+AS16*AF5+AT16*AF4+AU16*AF3))/(1-(AH16*AF3+AI16*AF4+AJ16*AF5+AK16*AF6+AL16*AF7+AM16*AF8+AN16*AF9+AO16*AF10+AP16*AF11+AQ16*AF12+AR16*AF13+AS16*AF14+AT16*AF15+AU16*AF16))</f>
        <v>0.10442496575142324</v>
      </c>
      <c r="AW17" s="1"/>
      <c r="AX17" s="1"/>
      <c r="AY17" s="2"/>
      <c r="AZ17" s="2"/>
      <c r="BA17" s="2"/>
    </row>
    <row r="18" spans="1:53">
      <c r="A18" s="74">
        <v>16</v>
      </c>
      <c r="B18" s="5">
        <v>4.535340490896175</v>
      </c>
      <c r="C18" s="75">
        <f t="shared" si="0"/>
        <v>2.7557977741652575</v>
      </c>
      <c r="D18" s="99">
        <f>SUMPRODUCT($C$3:INDEX($C$3:$C$52,ROWS(C19:$C$52)),C19:$C$52)</f>
        <v>41.498952709844914</v>
      </c>
      <c r="E18" s="105">
        <f t="shared" si="1"/>
        <v>5.9034575083897506E-2</v>
      </c>
      <c r="F18" s="104">
        <f t="shared" si="2"/>
        <v>-0.48616245219649545</v>
      </c>
      <c r="G18" s="104">
        <f t="shared" si="3"/>
        <v>0.48616245219649545</v>
      </c>
      <c r="H18" s="1">
        <f>SQRT((1/COUNT($C$3:$C$52))*(1+2*SUMSQ($E$3:E18)))</f>
        <v>0.24804206744719157</v>
      </c>
      <c r="I18" s="1"/>
      <c r="J18" s="103">
        <f t="shared" si="4"/>
        <v>6.6177400349948456E-2</v>
      </c>
      <c r="K18" s="103">
        <f t="shared" si="5"/>
        <v>-0.27718585822512665</v>
      </c>
      <c r="L18" s="103">
        <f t="shared" si="6"/>
        <v>0.27718585822512665</v>
      </c>
      <c r="M18" s="76">
        <f t="shared" si="7"/>
        <v>0.1414213562373095</v>
      </c>
      <c r="N18" s="1"/>
      <c r="O18" s="1"/>
      <c r="P18" s="98">
        <v>15</v>
      </c>
      <c r="Q18" s="97">
        <f t="shared" si="9"/>
        <v>2.6969857739948031</v>
      </c>
      <c r="R18" s="75">
        <f t="shared" si="10"/>
        <v>2.6824959780764357</v>
      </c>
      <c r="S18" s="99">
        <f>SUMPRODUCT($R$4:INDEX($R$4:$R$53,ROWS($R19:R$53)),$R19:R$53)</f>
        <v>-4.6782693715132702</v>
      </c>
      <c r="T18" s="102">
        <f t="shared" si="11"/>
        <v>-1.1296492353172063E-2</v>
      </c>
      <c r="U18" s="100">
        <f t="shared" si="12"/>
        <v>-0.36724206925880493</v>
      </c>
      <c r="V18" s="100">
        <f t="shared" si="13"/>
        <v>0.36724206925880493</v>
      </c>
      <c r="W18" s="1">
        <f>SQRT((1/COUNT($R$4:$R$52))*(1+2*SUMSQ($T$4:T18)))</f>
        <v>0.18736840268306373</v>
      </c>
      <c r="Z18" s="101">
        <f t="shared" si="14"/>
        <v>-0.10483463853500861</v>
      </c>
      <c r="AA18" s="100">
        <f t="shared" si="15"/>
        <v>-0.27999999999999997</v>
      </c>
      <c r="AB18" s="100">
        <f t="shared" si="16"/>
        <v>0.27999999999999997</v>
      </c>
      <c r="AC18" s="76">
        <f t="shared" si="17"/>
        <v>0.14285714285714285</v>
      </c>
      <c r="AE18" s="81">
        <v>16</v>
      </c>
      <c r="AF18" s="78">
        <f t="shared" si="8"/>
        <v>5.9034575083897506E-2</v>
      </c>
      <c r="AG18" s="80">
        <f>AW18</f>
        <v>6.6177400349948456E-2</v>
      </c>
      <c r="AH18" s="80">
        <f>AH17-(AV17*AW18)</f>
        <v>0.8184549238018628</v>
      </c>
      <c r="AI18" s="80">
        <f>AI17-(AU17*AW18)</f>
        <v>-0.16661964619705774</v>
      </c>
      <c r="AJ18" s="80">
        <f>AJ17-(AT17*AW18)</f>
        <v>0.26392983125484842</v>
      </c>
      <c r="AK18" s="1">
        <f>AK17-(AS17*AW18)</f>
        <v>-0.25631590696875695</v>
      </c>
      <c r="AL18" s="1">
        <f>AL17-(AR17*AW18)</f>
        <v>-1.3789170573977501E-2</v>
      </c>
      <c r="AM18" s="1">
        <f>AM17-(AQ17*AW18)</f>
        <v>0.26060935214590425</v>
      </c>
      <c r="AN18" s="1">
        <f>AN17-(AP17*AW18)</f>
        <v>-0.34039467446255645</v>
      </c>
      <c r="AO18" s="1">
        <f>AO17-(AO17*AW18)</f>
        <v>0.30820778549851685</v>
      </c>
      <c r="AP18" s="1">
        <f>AP17-(AN17*AW18)</f>
        <v>-0.22540657358425914</v>
      </c>
      <c r="AQ18" s="1">
        <f>AQ17-(AM17*AW18)</f>
        <v>5.9574144685380637E-3</v>
      </c>
      <c r="AR18" s="1">
        <f>AR17-(AL17*AW18)</f>
        <v>4.9973522128483487E-2</v>
      </c>
      <c r="AS18" s="1">
        <f>AS17-(AK17*AW18)</f>
        <v>6.6983842871102456E-2</v>
      </c>
      <c r="AT18" s="1">
        <f>AT17-(AJ17*AW18)</f>
        <v>-2.9103706840894611E-3</v>
      </c>
      <c r="AU18" s="1">
        <f>AU17-(AI17*AW18)</f>
        <v>-0.12768816231993591</v>
      </c>
      <c r="AV18" s="1">
        <f>AV17-(AH17*AW18)</f>
        <v>4.9804422850079876E-2</v>
      </c>
      <c r="AW18" s="79">
        <f>(AF18-(AH17*AF17+AI17*AF16+AJ17*AF15+AK17*AF14+AL17*AF13+AM17*AF12+AN17*AF11+AO17*AF10+AP17*AF9+AQ17*AF8+AR17*AF7+AS17*AF6+AT17*AF5+AU17*AF4+AV17*AF3))/(1-(AH17*AF3+AI17*AF4+AJ17*AF5+AK17*AF6+AL17*AF7+AM17*AF8+AN17*AF9+AO17*AF10+AP17*AF11+AQ17*AF12+AR17*AF13+AS17*AF14+AT17*AF15+AU17*AF16+AV17*AF17))</f>
        <v>6.6177400349948456E-2</v>
      </c>
      <c r="AX18" s="1"/>
      <c r="AY18" s="2"/>
      <c r="AZ18" s="2"/>
      <c r="BA18" s="2"/>
    </row>
    <row r="19" spans="1:53">
      <c r="A19" s="74">
        <v>17</v>
      </c>
      <c r="B19" s="5">
        <v>0.91413563801271902</v>
      </c>
      <c r="C19" s="75">
        <f t="shared" si="0"/>
        <v>-0.86540707871819866</v>
      </c>
      <c r="D19" s="99">
        <f>SUMPRODUCT($C$3:INDEX($C$3:$C$52,ROWS(C20:$C$52)),C20:$C$52)</f>
        <v>68.416330933630221</v>
      </c>
      <c r="E19" s="105">
        <f t="shared" si="1"/>
        <v>9.7326047086195647E-2</v>
      </c>
      <c r="F19" s="104">
        <f t="shared" si="2"/>
        <v>-0.48765714448464381</v>
      </c>
      <c r="G19" s="104">
        <f t="shared" si="3"/>
        <v>0.48765714448464381</v>
      </c>
      <c r="H19" s="1">
        <f>SQRT((1/COUNT($C$3:$C$52))*(1+2*SUMSQ($E$3:E19)))</f>
        <v>0.2488046655533897</v>
      </c>
      <c r="I19" s="1"/>
      <c r="J19" s="103">
        <f t="shared" si="4"/>
        <v>-2.608068429162334E-3</v>
      </c>
      <c r="K19" s="103">
        <f t="shared" si="5"/>
        <v>-0.27718585822512665</v>
      </c>
      <c r="L19" s="103">
        <f t="shared" si="6"/>
        <v>0.27718585822512665</v>
      </c>
      <c r="M19" s="76">
        <f t="shared" si="7"/>
        <v>0.1414213562373095</v>
      </c>
      <c r="N19" s="1"/>
      <c r="O19" s="1"/>
      <c r="P19" s="98">
        <v>16</v>
      </c>
      <c r="Q19" s="97">
        <f t="shared" si="9"/>
        <v>-3.6212048528834559</v>
      </c>
      <c r="R19" s="75">
        <f t="shared" si="10"/>
        <v>-3.6356946488018234</v>
      </c>
      <c r="S19" s="99">
        <f>SUMPRODUCT($R$4:INDEX($R$4:$R$53,ROWS($R20:R$53)),$R20:R$53)</f>
        <v>-8.7774126061013629</v>
      </c>
      <c r="T19" s="102">
        <f t="shared" si="11"/>
        <v>-2.1194584259988214E-2</v>
      </c>
      <c r="U19" s="100">
        <f t="shared" si="12"/>
        <v>-0.36733795560017374</v>
      </c>
      <c r="V19" s="100">
        <f t="shared" si="13"/>
        <v>0.36733795560017374</v>
      </c>
      <c r="W19" s="1">
        <f>SQRT((1/COUNT($R$4:$R$52))*(1+2*SUMSQ($T$4:T19)))</f>
        <v>0.18741732428580293</v>
      </c>
      <c r="Z19" s="101">
        <f t="shared" si="14"/>
        <v>-3.8546459666535124E-2</v>
      </c>
      <c r="AA19" s="100">
        <f t="shared" si="15"/>
        <v>-0.27999999999999997</v>
      </c>
      <c r="AB19" s="100">
        <f t="shared" si="16"/>
        <v>0.27999999999999997</v>
      </c>
      <c r="AC19" s="76">
        <f t="shared" si="17"/>
        <v>0.14285714285714285</v>
      </c>
      <c r="AE19" s="81">
        <v>17</v>
      </c>
      <c r="AF19" s="78">
        <f t="shared" si="8"/>
        <v>9.7326047086195647E-2</v>
      </c>
      <c r="AG19" s="80">
        <f>AX19</f>
        <v>-2.608068429162334E-3</v>
      </c>
      <c r="AH19" s="80">
        <f>AH18-(AW18*AX19)</f>
        <v>0.81862751899043951</v>
      </c>
      <c r="AI19" s="80">
        <f>AI18-(AV18*AX19)</f>
        <v>-0.16648975285418979</v>
      </c>
      <c r="AJ19" s="80">
        <f>AJ18-(AU18*AX19)</f>
        <v>0.26359681178992406</v>
      </c>
      <c r="AK19" s="1">
        <f>AK18-(AT18*AX19)</f>
        <v>-0.25632349741465527</v>
      </c>
      <c r="AL19" s="1">
        <f>AL18-(AS18*AX19)</f>
        <v>-1.3614472128121408E-2</v>
      </c>
      <c r="AM19" s="1">
        <f>AM18-(AR18*AX19)</f>
        <v>0.26073968651126161</v>
      </c>
      <c r="AN19" s="1">
        <f>AN18-(AQ18*AX19)</f>
        <v>-0.34037913711796164</v>
      </c>
      <c r="AO19" s="1">
        <f>AO18-(AP18*AX19)</f>
        <v>0.30761990973022607</v>
      </c>
      <c r="AP19" s="1">
        <f>AP18-(AO18*AX19)</f>
        <v>-0.22460274658927842</v>
      </c>
      <c r="AQ19" s="1">
        <f>AQ18-(AN18*AX19)</f>
        <v>5.0696418646172803E-3</v>
      </c>
      <c r="AR19" s="1">
        <f>AR18-(AM18*AX19)</f>
        <v>5.0653209152159671E-2</v>
      </c>
      <c r="AS19" s="1">
        <f>AS18-(AL18*AX19)</f>
        <v>6.6947879770664132E-2</v>
      </c>
      <c r="AT19" s="1">
        <f>AT18-(AK18*AX19)</f>
        <v>-3.5788601089467862E-3</v>
      </c>
      <c r="AU19" s="1">
        <f>AU18-(AJ18*AX19)</f>
        <v>-0.126999815259526</v>
      </c>
      <c r="AV19" s="1">
        <f>AV18-(AI18*AX19)</f>
        <v>4.9369867411155129E-2</v>
      </c>
      <c r="AW19" s="1">
        <f>AW18-(AH18*AX19)</f>
        <v>6.8311986797408561E-2</v>
      </c>
      <c r="AX19" s="79">
        <f>(AF19-(AH18*AF18+AI18*AF17+AJ18*AF16+AK18*AF15+AL18*AF14+AM18*AF13+AN18*AF12+AO18*AF11+AP18*AF10+AQ18*AF9+AR18*AF8+AS18*AF7+AT18*AF6+AU18*AF5+AV18*AF4+AW18*AF3))/(1-(AH18*AF3+AI18*AF4+AJ18*AF5+AK18*AF6+AL18*AF7+AM18*AF8+AN18*AF9+AO18*AF10+AP18*AF11+AQ18*AF12+AR18*AF13+AS18*AF14+AT18*AF15+AU18*AF16+AV18*AF17+AW18*AF18))</f>
        <v>-2.608068429162334E-3</v>
      </c>
      <c r="AY19" s="2"/>
      <c r="AZ19" s="2"/>
      <c r="BA19" s="2"/>
    </row>
    <row r="20" spans="1:53">
      <c r="A20" s="74">
        <v>18</v>
      </c>
      <c r="B20" s="5">
        <v>1.7656540318667853</v>
      </c>
      <c r="C20" s="75">
        <f t="shared" si="0"/>
        <v>-1.3888684864132417E-2</v>
      </c>
      <c r="D20" s="99">
        <f>SUMPRODUCT($C$3:INDEX($C$3:$C$52,ROWS(C21:$C$52)),C21:$C$52)</f>
        <v>62.52141260167879</v>
      </c>
      <c r="E20" s="105">
        <f t="shared" si="1"/>
        <v>8.8940196934404414E-2</v>
      </c>
      <c r="F20" s="104">
        <f t="shared" si="2"/>
        <v>-0.48890185918602252</v>
      </c>
      <c r="G20" s="104">
        <f t="shared" si="3"/>
        <v>0.48890185918602252</v>
      </c>
      <c r="H20" s="1">
        <f>SQRT((1/COUNT($C$3:$C$52))*(1+2*SUMSQ($E$3:E20)))</f>
        <v>0.2494397240745013</v>
      </c>
      <c r="I20" s="1"/>
      <c r="J20" s="103">
        <f t="shared" si="4"/>
        <v>2.1199531290187666E-2</v>
      </c>
      <c r="K20" s="103">
        <f t="shared" si="5"/>
        <v>-0.27718585822512665</v>
      </c>
      <c r="L20" s="103">
        <f t="shared" si="6"/>
        <v>0.27718585822512665</v>
      </c>
      <c r="M20" s="76">
        <f t="shared" si="7"/>
        <v>0.1414213562373095</v>
      </c>
      <c r="N20" s="1"/>
      <c r="O20" s="1"/>
      <c r="P20" s="98">
        <v>17</v>
      </c>
      <c r="Q20" s="97">
        <f t="shared" si="9"/>
        <v>0.85151839385406625</v>
      </c>
      <c r="R20" s="75">
        <f t="shared" si="10"/>
        <v>0.83702859793569884</v>
      </c>
      <c r="S20" s="99">
        <f>SUMPRODUCT($R$4:INDEX($R$4:$R$53,ROWS($R21:R$53)),$R21:R$53)</f>
        <v>24.482481539477835</v>
      </c>
      <c r="T20" s="102">
        <f t="shared" si="11"/>
        <v>5.9117195598321709E-2</v>
      </c>
      <c r="U20" s="100">
        <f t="shared" si="12"/>
        <v>-0.36808309520809501</v>
      </c>
      <c r="V20" s="100">
        <f t="shared" si="13"/>
        <v>0.36808309520809501</v>
      </c>
      <c r="W20" s="1">
        <f>SQRT((1/COUNT($R$4:$R$52))*(1+2*SUMSQ($T$4:T20)))</f>
        <v>0.18779749755515052</v>
      </c>
      <c r="Z20" s="101">
        <f t="shared" si="14"/>
        <v>-2.2925008978743205E-2</v>
      </c>
      <c r="AA20" s="100">
        <f t="shared" si="15"/>
        <v>-0.27999999999999997</v>
      </c>
      <c r="AB20" s="100">
        <f t="shared" si="16"/>
        <v>0.27999999999999997</v>
      </c>
      <c r="AC20" s="76">
        <f t="shared" si="17"/>
        <v>0.14285714285714285</v>
      </c>
      <c r="AE20" s="83">
        <v>18</v>
      </c>
      <c r="AF20" s="78">
        <f t="shared" si="8"/>
        <v>8.8940196934404414E-2</v>
      </c>
      <c r="AG20" s="80">
        <f>AX20</f>
        <v>2.1199531290187666E-2</v>
      </c>
      <c r="AH20" s="80">
        <f>AH19-(AX19*AY20)</f>
        <v>0.81855167027076936</v>
      </c>
      <c r="AI20" s="80">
        <f>AI19-(AW19*AY20)</f>
        <v>-0.16450308077198092</v>
      </c>
      <c r="AJ20" s="80">
        <f>AJ19-(AV19*AY20)</f>
        <v>0.26503260281118324</v>
      </c>
      <c r="AK20" s="1">
        <f>AK19-(AU19*AY20)</f>
        <v>-0.26001694858260399</v>
      </c>
      <c r="AL20" s="1">
        <f>AL19-(AT19*AY20)</f>
        <v>-1.3718553736604874E-2</v>
      </c>
      <c r="AM20" s="1">
        <f>AM19-(AS19*AY20)</f>
        <v>0.26268668717598975</v>
      </c>
      <c r="AN20" s="1">
        <f>AN19-(AR19*AY20)</f>
        <v>-0.33890602352231519</v>
      </c>
      <c r="AO20" s="1">
        <f>AO19-(AQ19*AY20)</f>
        <v>0.30776734675308859</v>
      </c>
      <c r="AP20" s="1">
        <f>AP19-(AP19*AY20)</f>
        <v>-0.23113471889978487</v>
      </c>
      <c r="AQ20" s="1">
        <f>AQ19-(AO19*AY20)</f>
        <v>1.4015947121483845E-2</v>
      </c>
      <c r="AR20" s="1">
        <f>AR19-(AN19*AY20)</f>
        <v>4.0754189071188246E-2</v>
      </c>
      <c r="AS20" s="1">
        <f>AS19-(AM19*AY20)</f>
        <v>7.4530798672613988E-2</v>
      </c>
      <c r="AT20" s="1">
        <f>AT19-(AL19*AY20)</f>
        <v>-3.974800747756837E-3</v>
      </c>
      <c r="AU20" s="1">
        <f>AU19-(AK19*AY20)</f>
        <v>-0.13445430107089684</v>
      </c>
      <c r="AV20" s="1">
        <f>AV19-(AJ19*AY20)</f>
        <v>5.7035878187497772E-2</v>
      </c>
      <c r="AW20" s="1">
        <f>AW19-(AI19*AY20)</f>
        <v>6.3470076036560616E-2</v>
      </c>
      <c r="AX20" s="76">
        <f>AX19-(AH19*AY20)</f>
        <v>2.1199531290187666E-2</v>
      </c>
      <c r="AY20" s="79">
        <f>(AF20-(AH19*AF19+AI19*AF18+AJ19*AF17+AK19*AF16+AL19*AF15+AM19*AF14+AN19*AF13+AO19*AF12+AP19*AF11+AQ19*AF10+AR19*AF9+AS19*AF8+AT19*AF7+AU19*AF6+AV19*AF5+AW19*AF4+AX19*AF3))/(1-(AH19*AF3+AI19*AF4+AJ19*AF5+AK19*AF6+AL19*AF7+AM19*AF8+AN19*AF9+AO19*AF10+AP19*AF11+AQ19*AF12+AR19*AF13+AS19*AF14+AT19*AF15+AU19*AF16+AV19*AF17+AW19*AF18+AX19*AF19))</f>
        <v>-2.9082334965614614E-2</v>
      </c>
      <c r="AZ20" s="2"/>
      <c r="BA20" s="2"/>
    </row>
    <row r="21" spans="1:53">
      <c r="A21" s="74">
        <v>19</v>
      </c>
      <c r="B21" s="5">
        <v>2.4062615234113913</v>
      </c>
      <c r="C21" s="75">
        <f t="shared" si="0"/>
        <v>0.62671880668047364</v>
      </c>
      <c r="D21" s="99">
        <f>SUMPRODUCT($C$3:INDEX($C$3:$C$52,ROWS(C22:$C$52)),C22:$C$52)</f>
        <v>-7.7562682464059778</v>
      </c>
      <c r="E21" s="105">
        <f t="shared" si="1"/>
        <v>-1.1033724233110049E-2</v>
      </c>
      <c r="F21" s="104">
        <f t="shared" si="2"/>
        <v>-0.48892099100235753</v>
      </c>
      <c r="G21" s="104">
        <f t="shared" si="3"/>
        <v>0.48892099100235753</v>
      </c>
      <c r="H21" s="1">
        <f>SQRT((1/COUNT($C$3:$C$52))*(1+2*SUMSQ($E$3:E21)))</f>
        <v>0.24944948520528445</v>
      </c>
      <c r="I21" s="1"/>
      <c r="J21" s="103">
        <f t="shared" si="4"/>
        <v>-1.4498822102356673E-2</v>
      </c>
      <c r="K21" s="103">
        <f t="shared" si="5"/>
        <v>-0.27718585822512665</v>
      </c>
      <c r="L21" s="103">
        <f t="shared" si="6"/>
        <v>0.27718585822512665</v>
      </c>
      <c r="M21" s="76">
        <f t="shared" si="7"/>
        <v>0.1414213562373095</v>
      </c>
      <c r="N21" s="1"/>
      <c r="P21" s="98">
        <v>18</v>
      </c>
      <c r="Q21" s="97">
        <f t="shared" si="9"/>
        <v>0.64060749154460606</v>
      </c>
      <c r="R21" s="75">
        <f t="shared" si="10"/>
        <v>0.62611769562623865</v>
      </c>
      <c r="S21" s="99">
        <f>SUMPRODUCT($R$4:INDEX($R$4:$R$53,ROWS($R22:R$53)),$R22:R$53)</f>
        <v>70.847890732287908</v>
      </c>
      <c r="T21" s="102">
        <f t="shared" si="11"/>
        <v>0.17107451331661525</v>
      </c>
      <c r="U21" s="100">
        <f t="shared" si="12"/>
        <v>-0.37426481329384065</v>
      </c>
      <c r="V21" s="100">
        <f t="shared" si="13"/>
        <v>0.37426481329384065</v>
      </c>
      <c r="W21" s="1">
        <f>SQRT((1/COUNT($R$4:$R$52))*(1+2*SUMSQ($T$4:T21)))</f>
        <v>0.19095143535400033</v>
      </c>
      <c r="Z21" s="101">
        <f t="shared" si="14"/>
        <v>-2.3050699688338186E-3</v>
      </c>
      <c r="AA21" s="100">
        <f t="shared" si="15"/>
        <v>-0.27999999999999997</v>
      </c>
      <c r="AB21" s="100">
        <f t="shared" si="16"/>
        <v>0.27999999999999997</v>
      </c>
      <c r="AC21" s="76">
        <f t="shared" si="17"/>
        <v>0.14285714285714285</v>
      </c>
      <c r="AE21" s="83">
        <v>19</v>
      </c>
      <c r="AF21" s="78">
        <f t="shared" si="8"/>
        <v>-1.1033724233110049E-2</v>
      </c>
      <c r="AG21" s="80">
        <f>AX21</f>
        <v>-1.4498822102356673E-2</v>
      </c>
      <c r="AH21" s="80">
        <f>AH20-(AY20*AZ21)</f>
        <v>0.81224059411212945</v>
      </c>
      <c r="AI21" s="80">
        <f>AI20-(AX20*AZ21)</f>
        <v>-0.15990262978831568</v>
      </c>
      <c r="AJ21" s="80">
        <f>AJ20-(AW20*AZ21)</f>
        <v>0.27880606646652606</v>
      </c>
      <c r="AK21" s="1">
        <f>AK20-(AV20*AZ21)</f>
        <v>-0.24763975220405321</v>
      </c>
      <c r="AL21" s="1">
        <f>AL20-(AU20*AZ21)</f>
        <v>-4.2896105501908685E-2</v>
      </c>
      <c r="AM21" s="1">
        <f>AM20-(AT20*AZ21)</f>
        <v>0.26182412678446093</v>
      </c>
      <c r="AN21" s="1">
        <f>AN20-(AR20*AZ21)</f>
        <v>-0.33006207095399559</v>
      </c>
      <c r="AO21" s="1">
        <f>AO20-(AR20*AZ21)</f>
        <v>0.31661129932140819</v>
      </c>
      <c r="AP21" s="1">
        <f>AP20-(AQ20*AZ21)</f>
        <v>-0.22809315742187261</v>
      </c>
      <c r="AQ21" s="1">
        <f>AQ20-(AP20*AZ21)</f>
        <v>-3.6141951671961089E-2</v>
      </c>
      <c r="AR21" s="1">
        <f>AR20-(AO20*AZ21)</f>
        <v>0.10754192007001596</v>
      </c>
      <c r="AS21" s="1">
        <f>AS20-(AN20*AZ21)</f>
        <v>9.8575053256592937E-4</v>
      </c>
      <c r="AT21" s="1">
        <f>AT20-(AM20*AZ21)</f>
        <v>5.3030102420734165E-2</v>
      </c>
      <c r="AU21" s="1">
        <f>AU20-(AL20*AZ21)</f>
        <v>-0.13743132604225741</v>
      </c>
      <c r="AV21" s="1">
        <f>AV20-(AK20*AZ21)</f>
        <v>6.1032752307629834E-4</v>
      </c>
      <c r="AW21" s="1">
        <f>AW20-(AJ20*AZ21)</f>
        <v>0.1209840597947964</v>
      </c>
      <c r="AX21" s="76">
        <f>AX20-(AI20*AZ21)</f>
        <v>-1.4498822102356673E-2</v>
      </c>
      <c r="AY21" s="76">
        <f>AY20-(AH20*AZ21)</f>
        <v>0.14854927325871251</v>
      </c>
      <c r="AZ21" s="79">
        <f>(AF21-(AH20*AF20+AI20*AF19+AJ20*AF18+AK20*AF17+AL20*AF16+AM20*AF15+AN20*AF14+AO20*AF13+AP20*AF12+AQ20*AF11+AR20*AF10+AS20*AF9+AT20*AF8+AU20*AF7+AV20*AF6+AW20*AF5+AX20*AF4+AY20*AF3))/(1-(AH20*AF3+AI20*AF4+AJ20*AF5+AK20*AF6+AL20*AF7+AM20*AF8+AN20*AF9+AO20*AF10+AP20*AF11+AQ20*AF12+AR20*AF13+AS20*AF14+AT20*AF15+AU20*AF16+AV20*AF17+AW20*AF18+AX20*AF19+AY20*AF20))</f>
        <v>-0.2170072026920038</v>
      </c>
      <c r="BA21" s="2"/>
    </row>
    <row r="22" spans="1:53">
      <c r="A22" s="74">
        <v>20</v>
      </c>
      <c r="B22" s="5">
        <v>4.962504573630425</v>
      </c>
      <c r="C22" s="75">
        <f t="shared" si="0"/>
        <v>3.1829618568995075</v>
      </c>
      <c r="D22" s="99">
        <f>SUMPRODUCT($C$3:INDEX($C$3:$C$52,ROWS(C23:$C$52)),C23:$C$52)</f>
        <v>-9.2450402918698078</v>
      </c>
      <c r="E22" s="105">
        <f t="shared" si="1"/>
        <v>-1.3151585513013913E-2</v>
      </c>
      <c r="F22" s="104">
        <f t="shared" si="2"/>
        <v>-0.48894817088704567</v>
      </c>
      <c r="G22" s="104">
        <f t="shared" si="3"/>
        <v>0.48894817088704567</v>
      </c>
      <c r="H22" s="1">
        <f>SQRT((1/COUNT($C$3:$C$52))*(1+2*SUMSQ($E$3:E22)))</f>
        <v>0.24946335249339066</v>
      </c>
      <c r="I22" s="1"/>
      <c r="J22" s="103">
        <f t="shared" si="4"/>
        <v>-5.5157030994916596E-2</v>
      </c>
      <c r="K22" s="103">
        <f t="shared" si="5"/>
        <v>-0.27718585822512665</v>
      </c>
      <c r="L22" s="103">
        <f t="shared" si="6"/>
        <v>0.27718585822512665</v>
      </c>
      <c r="M22" s="76">
        <f t="shared" si="7"/>
        <v>0.1414213562373095</v>
      </c>
      <c r="N22" s="1"/>
      <c r="P22" s="98">
        <v>19</v>
      </c>
      <c r="Q22" s="97">
        <f t="shared" si="9"/>
        <v>2.5562430502190336</v>
      </c>
      <c r="R22" s="75">
        <f t="shared" si="10"/>
        <v>2.5417532543006662</v>
      </c>
      <c r="S22" s="99">
        <f>SUMPRODUCT($R$4:INDEX($R$4:$R$53,ROWS($R23:R$53)),$R23:R$53)</f>
        <v>-64.418718177961026</v>
      </c>
      <c r="T22" s="102">
        <f t="shared" si="11"/>
        <v>-0.15555016171783487</v>
      </c>
      <c r="U22" s="100">
        <f t="shared" si="12"/>
        <v>-0.37929943341712369</v>
      </c>
      <c r="V22" s="100">
        <f t="shared" si="13"/>
        <v>0.37929943341712369</v>
      </c>
      <c r="W22" s="1">
        <f>SQRT((1/COUNT($R$4:$R$52))*(1+2*SUMSQ($T$4:T22)))</f>
        <v>0.19352011909036923</v>
      </c>
      <c r="Z22" s="101">
        <f t="shared" si="14"/>
        <v>-5.1369699112283007E-2</v>
      </c>
      <c r="AA22" s="100">
        <f t="shared" si="15"/>
        <v>-0.27999999999999997</v>
      </c>
      <c r="AB22" s="100">
        <f t="shared" si="16"/>
        <v>0.27999999999999997</v>
      </c>
      <c r="AC22" s="76">
        <f t="shared" si="17"/>
        <v>0.14285714285714285</v>
      </c>
      <c r="AE22" s="83">
        <v>20</v>
      </c>
      <c r="AF22" s="78">
        <f t="shared" si="8"/>
        <v>-1.3151585513013913E-2</v>
      </c>
      <c r="AG22" s="80">
        <f>AX22</f>
        <v>-5.5157030994916596E-2</v>
      </c>
      <c r="AH22" s="80">
        <f>AH21-(AZ21*BA22)</f>
        <v>0.84388669238417302</v>
      </c>
      <c r="AI22" s="80">
        <f>AI21-(AY21*BA22)</f>
        <v>-0.18156552780031371</v>
      </c>
      <c r="AJ22" s="80">
        <f>AJ21-(AX21*BA22)</f>
        <v>0.28092042554488011</v>
      </c>
      <c r="AK22" s="1">
        <f>AK21-(AW21*AI22)</f>
        <v>-0.2256732175319863</v>
      </c>
      <c r="AL22" s="1">
        <f>AL21-(AV21*BA22)</f>
        <v>-4.2985109389953903E-2</v>
      </c>
      <c r="AM22" s="1">
        <f>AM21-(AU21*BA22)</f>
        <v>0.28186569773527981</v>
      </c>
      <c r="AN22" s="1">
        <f>AN21-(AR21*BA22)</f>
        <v>-0.34574487838472506</v>
      </c>
      <c r="AO22" s="1">
        <f>AO21-(AS21*BA22)</f>
        <v>0.31646754760331625</v>
      </c>
      <c r="AP22" s="1">
        <f>AP21-(AR21*BA22)</f>
        <v>-0.24377596485260208</v>
      </c>
      <c r="AQ22" s="1">
        <f>AQ21-(AQ21*BA22)</f>
        <v>-3.0871381201645207E-2</v>
      </c>
      <c r="AR22" s="1">
        <f>AR21-(AP21*BA22)</f>
        <v>0.14080467994807438</v>
      </c>
      <c r="AS22" s="1">
        <f>AS21-(AO21*BA22)</f>
        <v>-4.5185584649267946E-2</v>
      </c>
      <c r="AT22" s="1">
        <f>AT21-(AN21*BA22)</f>
        <v>0.1011629597808149</v>
      </c>
      <c r="AU22" s="1">
        <f>AU21-(AM21*BA22)</f>
        <v>-0.17561306353035758</v>
      </c>
      <c r="AV22" s="1">
        <f>AV21-(AL21*BA22)</f>
        <v>6.8658543137147992E-3</v>
      </c>
      <c r="AW22" s="1">
        <f>AW21-(AK21*BA22)</f>
        <v>0.15709729399668929</v>
      </c>
      <c r="AX22" s="76">
        <f>AX21-(AJ21*BA22)</f>
        <v>-5.5157030994916596E-2</v>
      </c>
      <c r="AY22" s="76">
        <f>AY21-(AH21*BA22)</f>
        <v>3.0100459841688507E-2</v>
      </c>
      <c r="AZ22" s="76">
        <f>AZ21-(AH21*BA22)</f>
        <v>-0.33545601610902781</v>
      </c>
      <c r="BA22" s="79">
        <f>(AF22-(AH21*AF21+AI21*AF20+AJ21*AF19+AK21*AF18+AL21*AF17+AM21*AF16+AN21*AF15+AO21*AF14+AP21*AF13+AQ21*AF12+AR21*AF11+AS21*AF10+AT21*AF9+AU21*AF8+AV21*AF7+AW21*AF6+AX21*AF5+AY21*AF4+AZ21*AF3))/(1-(AH21*AF3+AI21*AF4+AJ21*AF5+AK21*AF6+AL21*AF7+AM21*AF8+AN21*AF9+AO21*AF10+AP21*AF11+AQ21*AF12+AR21*AF13+AS21*AF14+AT21*AF15+AU21*AF16+AV21*AF17+AW21*AF18+AX21*AF19+AY21*AF20+AZ21*AF21))</f>
        <v>0.14582971385036708</v>
      </c>
    </row>
    <row r="23" spans="1:53">
      <c r="A23" s="74">
        <v>21</v>
      </c>
      <c r="B23" s="5">
        <v>1.2850018151585152</v>
      </c>
      <c r="C23" s="75">
        <f t="shared" si="0"/>
        <v>-0.49454090157240249</v>
      </c>
      <c r="D23" s="75"/>
      <c r="P23" s="98">
        <v>20</v>
      </c>
      <c r="Q23" s="97">
        <f t="shared" si="9"/>
        <v>-3.6775027584719098</v>
      </c>
      <c r="R23" s="75">
        <f t="shared" si="10"/>
        <v>-3.6919925543902772</v>
      </c>
      <c r="S23" s="99">
        <f>SUMPRODUCT($R$4:INDEX($R$4:$R$53,ROWS($R24:R$53)),$R24:R$53)</f>
        <v>-8.1861064800904426</v>
      </c>
      <c r="T23" s="102">
        <f t="shared" si="11"/>
        <v>-1.9766773118641837E-2</v>
      </c>
      <c r="U23" s="100">
        <f t="shared" si="12"/>
        <v>-0.37938018651565397</v>
      </c>
      <c r="V23" s="100">
        <f t="shared" si="13"/>
        <v>0.37938018651565397</v>
      </c>
      <c r="W23" s="1">
        <f>SQRT((1/COUNT($R$4:$R$52))*(1+2*SUMSQ($T$4:T23)))</f>
        <v>0.19356131965084386</v>
      </c>
      <c r="Z23" s="101">
        <f t="shared" si="14"/>
        <v>-5.1792374058407115E-2</v>
      </c>
      <c r="AA23" s="100">
        <f t="shared" si="15"/>
        <v>-0.27999999999999997</v>
      </c>
      <c r="AB23" s="100">
        <f t="shared" si="16"/>
        <v>0.27999999999999997</v>
      </c>
      <c r="AC23" s="76">
        <f t="shared" si="17"/>
        <v>0.14285714285714285</v>
      </c>
    </row>
    <row r="24" spans="1:53">
      <c r="A24" s="74">
        <v>22</v>
      </c>
      <c r="B24" s="5">
        <v>2.1140007203459419</v>
      </c>
      <c r="C24" s="75">
        <f t="shared" si="0"/>
        <v>0.3344580036150242</v>
      </c>
      <c r="D24" s="75"/>
      <c r="P24" s="98">
        <v>21</v>
      </c>
      <c r="Q24" s="97">
        <f t="shared" si="9"/>
        <v>0.82899890518742669</v>
      </c>
      <c r="R24" s="75">
        <f t="shared" si="10"/>
        <v>0.81450910926905928</v>
      </c>
      <c r="S24" s="99"/>
      <c r="V24" s="1"/>
    </row>
    <row r="25" spans="1:53">
      <c r="A25" s="74">
        <v>23</v>
      </c>
      <c r="B25" s="5">
        <v>2.7456002858513884</v>
      </c>
      <c r="C25" s="75">
        <f t="shared" si="0"/>
        <v>0.96605756912047069</v>
      </c>
      <c r="D25" s="75"/>
      <c r="P25" s="98">
        <v>22</v>
      </c>
      <c r="Q25" s="97">
        <f t="shared" si="9"/>
        <v>0.63159956550544649</v>
      </c>
      <c r="R25" s="75">
        <f t="shared" si="10"/>
        <v>0.61710976958707908</v>
      </c>
      <c r="S25" s="99"/>
      <c r="V25" s="1"/>
    </row>
    <row r="26" spans="1:53" ht="18">
      <c r="A26" s="74">
        <v>24</v>
      </c>
      <c r="B26" s="5">
        <v>1.2982401134257575</v>
      </c>
      <c r="C26" s="75">
        <f t="shared" si="0"/>
        <v>-0.48130260330516017</v>
      </c>
      <c r="D26" s="75"/>
      <c r="P26" s="98">
        <v>23</v>
      </c>
      <c r="Q26" s="97">
        <f t="shared" si="9"/>
        <v>-1.4473601724256309</v>
      </c>
      <c r="R26" s="75">
        <f t="shared" si="10"/>
        <v>-1.4618499683439983</v>
      </c>
      <c r="S26" s="99"/>
      <c r="V26" s="1"/>
      <c r="AE26" s="77" t="s">
        <v>73</v>
      </c>
      <c r="AF26" s="77" t="s">
        <v>74</v>
      </c>
      <c r="AG26" s="77" t="s">
        <v>75</v>
      </c>
      <c r="AH26" s="77" t="s">
        <v>53</v>
      </c>
      <c r="AI26" s="77" t="s">
        <v>54</v>
      </c>
      <c r="AJ26" s="77" t="s">
        <v>55</v>
      </c>
      <c r="AK26" s="77" t="s">
        <v>56</v>
      </c>
      <c r="AL26" s="77" t="s">
        <v>57</v>
      </c>
      <c r="AM26" s="77" t="s">
        <v>58</v>
      </c>
      <c r="AN26" s="77" t="s">
        <v>59</v>
      </c>
      <c r="AO26" s="77" t="s">
        <v>60</v>
      </c>
      <c r="AP26" s="77" t="s">
        <v>61</v>
      </c>
      <c r="AQ26" s="77" t="s">
        <v>62</v>
      </c>
      <c r="AR26" s="77" t="s">
        <v>63</v>
      </c>
      <c r="AS26" s="77" t="s">
        <v>64</v>
      </c>
      <c r="AT26" s="77" t="s">
        <v>65</v>
      </c>
      <c r="AU26" s="77" t="s">
        <v>66</v>
      </c>
      <c r="AV26" s="77" t="s">
        <v>67</v>
      </c>
      <c r="AW26" s="77" t="s">
        <v>68</v>
      </c>
      <c r="AX26" s="77" t="s">
        <v>69</v>
      </c>
      <c r="AY26" s="77" t="s">
        <v>70</v>
      </c>
      <c r="AZ26" s="77" t="s">
        <v>71</v>
      </c>
      <c r="BA26" s="77" t="s">
        <v>72</v>
      </c>
    </row>
    <row r="27" spans="1:53">
      <c r="A27" s="74">
        <v>25</v>
      </c>
      <c r="B27" s="5">
        <v>1.9296045004381313E-2</v>
      </c>
      <c r="C27" s="75">
        <f t="shared" si="0"/>
        <v>-1.7602466717265364</v>
      </c>
      <c r="D27" s="75"/>
      <c r="P27" s="98">
        <v>24</v>
      </c>
      <c r="Q27" s="97">
        <f t="shared" si="9"/>
        <v>-1.2789440684213762</v>
      </c>
      <c r="R27" s="75">
        <f t="shared" si="10"/>
        <v>-1.2934338643397436</v>
      </c>
      <c r="S27" s="99"/>
      <c r="V27" s="1"/>
      <c r="AE27" s="81">
        <v>1</v>
      </c>
      <c r="AF27" s="78">
        <f t="shared" ref="AF27:AF46" si="18">T4</f>
        <v>-0.14775995664735794</v>
      </c>
      <c r="AG27" s="1">
        <f>AH27</f>
        <v>-0.14775995664735794</v>
      </c>
      <c r="AH27" s="79">
        <f>AF27</f>
        <v>-0.14775995664735794</v>
      </c>
      <c r="AI27" s="1"/>
      <c r="AJ27" s="1"/>
      <c r="AK27" s="1"/>
      <c r="AL27" s="1"/>
      <c r="AM27" s="80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2"/>
      <c r="AZ27" s="2"/>
      <c r="BA27" s="2"/>
    </row>
    <row r="28" spans="1:53">
      <c r="A28" s="74">
        <v>26</v>
      </c>
      <c r="B28" s="5">
        <v>0.8077184178553809</v>
      </c>
      <c r="C28" s="75">
        <f t="shared" si="0"/>
        <v>-0.97182429887553679</v>
      </c>
      <c r="D28" s="75"/>
      <c r="P28" s="98">
        <v>25</v>
      </c>
      <c r="Q28" s="97">
        <f t="shared" si="9"/>
        <v>0.78842237285099959</v>
      </c>
      <c r="R28" s="75">
        <f t="shared" si="10"/>
        <v>0.77393257693263218</v>
      </c>
      <c r="S28" s="99"/>
      <c r="V28" s="1"/>
      <c r="AE28" s="81">
        <v>2</v>
      </c>
      <c r="AF28" s="78">
        <f t="shared" si="18"/>
        <v>-0.20736815845039902</v>
      </c>
      <c r="AG28" s="1">
        <f>AI28</f>
        <v>-0.2343170075874963</v>
      </c>
      <c r="AH28" s="1">
        <f>AH27-(AH27*AI28)</f>
        <v>-0.18238262753022505</v>
      </c>
      <c r="AI28" s="79">
        <f>(AF28-(AH27*AF27))/(1-(AH27*AF27))</f>
        <v>-0.2343170075874963</v>
      </c>
      <c r="AJ28" s="1"/>
      <c r="AK28" s="1"/>
      <c r="AL28" s="1"/>
      <c r="AM28" s="80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"/>
      <c r="AZ28" s="2"/>
      <c r="BA28" s="2"/>
    </row>
    <row r="29" spans="1:53">
      <c r="A29" s="74">
        <v>27</v>
      </c>
      <c r="B29" s="5">
        <v>-0.57691263291639938</v>
      </c>
      <c r="C29" s="75">
        <f t="shared" si="0"/>
        <v>-2.3564553496473168</v>
      </c>
      <c r="D29" s="75"/>
      <c r="P29" s="98">
        <v>26</v>
      </c>
      <c r="Q29" s="97">
        <f t="shared" si="9"/>
        <v>-1.3846310507717803</v>
      </c>
      <c r="R29" s="75">
        <f t="shared" si="10"/>
        <v>-1.3991208466901477</v>
      </c>
      <c r="S29" s="99"/>
      <c r="V29" s="1"/>
      <c r="AE29" s="81">
        <v>3</v>
      </c>
      <c r="AF29" s="78">
        <f t="shared" si="18"/>
        <v>0.19019261541793583</v>
      </c>
      <c r="AG29" s="1">
        <f>AJ29</f>
        <v>0.12737104241324604</v>
      </c>
      <c r="AH29" s="1">
        <f>AH28-(AI28*AJ29)</f>
        <v>-0.15253742601865317</v>
      </c>
      <c r="AI29" s="1">
        <f>AI28-(AH28*AJ29)</f>
        <v>-0.21108674220090473</v>
      </c>
      <c r="AJ29" s="79">
        <f>(AF29-(AH28*AF28+AI28*AF27))/(1-(AH28*AF27+AI28*AF28))</f>
        <v>0.12737104241324604</v>
      </c>
      <c r="AK29" s="1"/>
      <c r="AL29" s="1"/>
      <c r="AM29" s="80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2"/>
      <c r="AZ29" s="2"/>
      <c r="BA29" s="2"/>
    </row>
    <row r="30" spans="1:53">
      <c r="A30" s="74">
        <v>28</v>
      </c>
      <c r="B30" s="5">
        <v>-1.8307650531899835</v>
      </c>
      <c r="C30" s="75">
        <f t="shared" si="0"/>
        <v>-3.610307769920901</v>
      </c>
      <c r="D30" s="75"/>
      <c r="P30" s="98">
        <v>27</v>
      </c>
      <c r="Q30" s="97">
        <f t="shared" si="9"/>
        <v>-1.2538524202735841</v>
      </c>
      <c r="R30" s="75">
        <f t="shared" si="10"/>
        <v>-1.2683422161919515</v>
      </c>
      <c r="S30" s="99"/>
      <c r="V30" s="1"/>
      <c r="AE30" s="81">
        <v>4</v>
      </c>
      <c r="AF30" s="78">
        <f t="shared" si="18"/>
        <v>-0.21219808837982135</v>
      </c>
      <c r="AG30" s="80">
        <f>AK30</f>
        <v>-0.22885905161243128</v>
      </c>
      <c r="AH30" s="80">
        <f>AH29-(AJ29*AK30)</f>
        <v>-0.12338741004907092</v>
      </c>
      <c r="AI30" s="80">
        <f>AI29-(AI29*AK30)</f>
        <v>-0.25939585382896158</v>
      </c>
      <c r="AJ30" s="80">
        <f>AJ29-(AH29*AK30)</f>
        <v>9.246147175921568E-2</v>
      </c>
      <c r="AK30" s="79">
        <f>(AF30-(AH29*AF29+AI29*AF28+AJ29*AF27))/(1-(AH29*AF27+AI29*AF28+AJ29*AF29))</f>
        <v>-0.22885905161243128</v>
      </c>
      <c r="AL30" s="1"/>
      <c r="AM30" s="80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"/>
      <c r="AZ30" s="2"/>
      <c r="BA30" s="2"/>
    </row>
    <row r="31" spans="1:53">
      <c r="A31" s="74">
        <v>29</v>
      </c>
      <c r="B31" s="5">
        <v>-3.0323060212853661</v>
      </c>
      <c r="C31" s="75">
        <f t="shared" si="0"/>
        <v>-4.811848738016284</v>
      </c>
      <c r="D31" s="75"/>
      <c r="P31" s="98">
        <v>28</v>
      </c>
      <c r="Q31" s="97">
        <f t="shared" si="9"/>
        <v>-1.2015409680953826</v>
      </c>
      <c r="R31" s="75">
        <f t="shared" si="10"/>
        <v>-1.21603076401375</v>
      </c>
      <c r="S31" s="99"/>
      <c r="V31" s="1"/>
      <c r="AE31" s="81">
        <v>5</v>
      </c>
      <c r="AF31" s="78">
        <f t="shared" si="18"/>
        <v>-0.11172781109599152</v>
      </c>
      <c r="AG31" s="80">
        <f>AL31</f>
        <v>-0.11976605372778258</v>
      </c>
      <c r="AH31" s="80">
        <f>AH30-(AK30*AL31)</f>
        <v>-0.15079695552057473</v>
      </c>
      <c r="AI31" s="80">
        <f>AI30-(AJ30*AL31)</f>
        <v>-0.24832210823449749</v>
      </c>
      <c r="AJ31" s="80">
        <f>AJ30-(AI30*AL31)</f>
        <v>6.1394653992772233E-2</v>
      </c>
      <c r="AK31" s="1">
        <f>AK30-(AH30*AL31)</f>
        <v>-0.24363667479370024</v>
      </c>
      <c r="AL31" s="79">
        <f>(AF31-(AH30*AF30+AI30*AF29+AJ30*AF28+AK30*AF27))/(1-(AH30*AF27+AI30*AF28+AJ30*AF29+AK30*AF30))</f>
        <v>-0.11976605372778258</v>
      </c>
      <c r="AM31" s="80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2"/>
      <c r="AZ31" s="2"/>
      <c r="BA31" s="2"/>
    </row>
    <row r="32" spans="1:53">
      <c r="A32" s="74">
        <v>30</v>
      </c>
      <c r="B32" s="5">
        <v>-6.2129224085178993</v>
      </c>
      <c r="C32" s="75">
        <f t="shared" si="0"/>
        <v>-7.9924651252488168</v>
      </c>
      <c r="D32" s="75"/>
      <c r="P32" s="98">
        <v>29</v>
      </c>
      <c r="Q32" s="97">
        <f t="shared" si="9"/>
        <v>-3.1806163872325333</v>
      </c>
      <c r="R32" s="75">
        <f t="shared" si="10"/>
        <v>-3.1951061831509007</v>
      </c>
      <c r="S32" s="99"/>
      <c r="V32" s="1"/>
      <c r="AE32" s="81">
        <v>6</v>
      </c>
      <c r="AF32" s="78">
        <f t="shared" si="18"/>
        <v>0.24486771824525294</v>
      </c>
      <c r="AG32" s="80">
        <f>AM32</f>
        <v>0.11234116596202119</v>
      </c>
      <c r="AH32" s="80">
        <f>AH31-(AL31*AM32)</f>
        <v>-0.13734229740212556</v>
      </c>
      <c r="AI32" s="80">
        <f>AI31-(AK31*AM32)</f>
        <v>-0.22095168011706343</v>
      </c>
      <c r="AJ32" s="80">
        <f>AJ31-(AJ31*AM32)</f>
        <v>5.4497506979389342E-2</v>
      </c>
      <c r="AK32" s="1">
        <f>AK31-(AI31*AM32)</f>
        <v>-0.21573987962048957</v>
      </c>
      <c r="AL32" s="1">
        <f>AL31-(AH31*AM32)</f>
        <v>-0.10282534792107817</v>
      </c>
      <c r="AM32" s="82">
        <f>(AF32-(AH31*AF31+AI31*AF30+AJ31*AF29+AK31*AF28+AL31*AF27))/(1-(AH31*AF27+AI31*AF28+AJ31*AF29+AK31*AF30+AL31*AF31))</f>
        <v>0.11234116596202119</v>
      </c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2"/>
      <c r="AZ32" s="2"/>
      <c r="BA32" s="2"/>
    </row>
    <row r="33" spans="1:53">
      <c r="A33" s="74">
        <v>31</v>
      </c>
      <c r="B33" s="5">
        <v>-1.1851689634086644</v>
      </c>
      <c r="C33" s="75">
        <f t="shared" si="0"/>
        <v>-2.9647116801395823</v>
      </c>
      <c r="D33" s="75"/>
      <c r="P33" s="98">
        <v>30</v>
      </c>
      <c r="Q33" s="97">
        <f t="shared" si="9"/>
        <v>5.0277534451092354</v>
      </c>
      <c r="R33" s="75">
        <f t="shared" si="10"/>
        <v>5.0132636491908684</v>
      </c>
      <c r="S33" s="99"/>
      <c r="V33" s="1"/>
      <c r="AE33" s="81">
        <v>7</v>
      </c>
      <c r="AF33" s="78">
        <f t="shared" si="18"/>
        <v>-0.24717810932101456</v>
      </c>
      <c r="AG33" s="80">
        <f>AN33</f>
        <v>-0.22695857926700613</v>
      </c>
      <c r="AH33" s="80">
        <f>AH32-(AM32*AN33)</f>
        <v>-0.11184550598218627</v>
      </c>
      <c r="AI33" s="80">
        <f>AI32-(AL32*AN33)</f>
        <v>-0.24428877499386692</v>
      </c>
      <c r="AJ33" s="80">
        <f>AJ32-(AK32*AN33)</f>
        <v>5.5334904094880982E-3</v>
      </c>
      <c r="AK33" s="1">
        <f>AK32-(AJ32*AN33)</f>
        <v>-0.20337120286285362</v>
      </c>
      <c r="AL33" s="1">
        <f>AL32-(AI32*AN33)</f>
        <v>-0.15297222732710489</v>
      </c>
      <c r="AM33" s="1">
        <f>AM32-(AH32*AN33)</f>
        <v>8.1170153270368139E-2</v>
      </c>
      <c r="AN33" s="79">
        <f>(AF33-(AH32*AF32+AI32*AF31+AJ32*AF30+AK32*AF29+AL32*AF28+AM32*AF27))/(1-(AH32*AF27+AI32*AF28+AJ32*AF29+AK32*AF30+AL32*AF31+AM32*AF32))</f>
        <v>-0.22695857926700613</v>
      </c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2"/>
      <c r="AZ33" s="2"/>
      <c r="BA33" s="2"/>
    </row>
    <row r="34" spans="1:53">
      <c r="A34" s="74">
        <v>32</v>
      </c>
      <c r="B34" s="5">
        <v>-2.8740675853640711</v>
      </c>
      <c r="C34" s="75">
        <f t="shared" si="0"/>
        <v>-4.6536103020949886</v>
      </c>
      <c r="D34" s="75"/>
      <c r="P34" s="98">
        <v>31</v>
      </c>
      <c r="Q34" s="97">
        <f t="shared" si="9"/>
        <v>-1.6888986219554067</v>
      </c>
      <c r="R34" s="75">
        <f t="shared" si="10"/>
        <v>-1.7033884178737742</v>
      </c>
      <c r="S34" s="99"/>
      <c r="V34" s="1"/>
      <c r="AE34" s="81">
        <v>8</v>
      </c>
      <c r="AF34" s="78">
        <f t="shared" si="18"/>
        <v>4.7059199572631501E-2</v>
      </c>
      <c r="AG34" s="80">
        <f>AO34</f>
        <v>6.1701367644729978E-2</v>
      </c>
      <c r="AH34" s="80">
        <f>AH33-(AN33*AO34)</f>
        <v>-9.784185124270714E-2</v>
      </c>
      <c r="AI34" s="80">
        <f>AI33-(AM33*AO34)</f>
        <v>-0.24929708446258098</v>
      </c>
      <c r="AJ34" s="80">
        <f>AJ33-(AL33*AO34)</f>
        <v>1.4972086047231006E-2</v>
      </c>
      <c r="AK34" s="1">
        <f>AK33-(AK33*AO34)</f>
        <v>-0.19082292150666172</v>
      </c>
      <c r="AL34" s="1">
        <f>AL33-(AJ33*AO34)</f>
        <v>-0.1533136512532193</v>
      </c>
      <c r="AM34" s="1">
        <f>AM33-(AI33*AO34)</f>
        <v>9.6243104787745448E-2</v>
      </c>
      <c r="AN34" s="1">
        <f>AN33-(AH33*AO34)</f>
        <v>-0.22005755858298842</v>
      </c>
      <c r="AO34" s="79">
        <f>(AF34-(AH33*AF33+AI33*AF32+AJ33*AF31+AK33*AF30+AL33*AF29+AM33*AF28+AN33*AF27))/(1-(AH33*AF27+AI33*AF28+AJ33*AF29+AK33*AF30+AL33*AF31+AM33*AF32+AN33*AF33))</f>
        <v>6.1701367644729978E-2</v>
      </c>
      <c r="AP34" s="1"/>
      <c r="AQ34" s="1"/>
      <c r="AR34" s="1"/>
      <c r="AS34" s="1"/>
      <c r="AT34" s="1"/>
      <c r="AU34" s="1"/>
      <c r="AV34" s="1"/>
      <c r="AW34" s="1"/>
      <c r="AX34" s="1"/>
      <c r="AY34" s="2"/>
      <c r="AZ34" s="2"/>
      <c r="BA34" s="2"/>
    </row>
    <row r="35" spans="1:53">
      <c r="A35" s="74">
        <v>33</v>
      </c>
      <c r="B35" s="5">
        <v>-6.2496270341458739</v>
      </c>
      <c r="C35" s="75">
        <f t="shared" ref="C35:C52" si="19">B35-AVERAGE($B$3:$B$52)</f>
        <v>-8.0291697508767914</v>
      </c>
      <c r="D35" s="75"/>
      <c r="P35" s="98">
        <v>32</v>
      </c>
      <c r="Q35" s="97">
        <f t="shared" si="9"/>
        <v>-3.3755594487818028</v>
      </c>
      <c r="R35" s="75">
        <f t="shared" si="10"/>
        <v>-3.3900492447001702</v>
      </c>
      <c r="S35" s="99"/>
      <c r="V35" s="1"/>
      <c r="AE35" s="81">
        <v>9</v>
      </c>
      <c r="AF35" s="78">
        <f t="shared" si="18"/>
        <v>6.467977371630633E-2</v>
      </c>
      <c r="AG35" s="80">
        <f>AP35</f>
        <v>-0.13208176922036657</v>
      </c>
      <c r="AH35" s="80">
        <f>AH34-(AO34*AP35)</f>
        <v>-8.969222544087492E-2</v>
      </c>
      <c r="AI35" s="80">
        <f>AI34-(AN34*AP35)</f>
        <v>-0.27836267613053656</v>
      </c>
      <c r="AJ35" s="80">
        <f>AJ34-(AM34*AP35)</f>
        <v>2.768404560285756E-2</v>
      </c>
      <c r="AK35" s="1">
        <f>AK34-(AL34*AP35)</f>
        <v>-0.21107285980982118</v>
      </c>
      <c r="AL35" s="1">
        <f>AL34-(AK34*AP35)</f>
        <v>-0.17851788033361832</v>
      </c>
      <c r="AM35" s="1">
        <f>AM34-(AJ34*AP35)</f>
        <v>9.8220644401783283E-2</v>
      </c>
      <c r="AN35" s="1">
        <f>AN34-(AI34*AP35)</f>
        <v>-0.25298515856028525</v>
      </c>
      <c r="AO35" s="1">
        <f>AO34-(AH34*AP35)</f>
        <v>4.8778242828797294E-2</v>
      </c>
      <c r="AP35" s="79">
        <f>(AF35-(AH34*AF34+AI34*AF33+AJ34*AF32+AK34*AF31+AL34*AF30+AM34*AF29+AN34*AF28+AO34*AF27))/(1-(AH34*AF27+AI34*AF28+AJ34*AF29+AK34*AF30+AL34*AF31+AM34*AF32+AN34*AF33+AO34*AF34))</f>
        <v>-0.13208176922036657</v>
      </c>
      <c r="AQ35" s="1"/>
      <c r="AR35" s="1"/>
      <c r="AS35" s="1"/>
      <c r="AT35" s="1"/>
      <c r="AU35" s="1"/>
      <c r="AV35" s="1"/>
      <c r="AW35" s="1"/>
      <c r="AX35" s="1"/>
      <c r="AY35" s="2"/>
      <c r="AZ35" s="2"/>
      <c r="BA35" s="2"/>
    </row>
    <row r="36" spans="1:53">
      <c r="A36" s="74">
        <v>34</v>
      </c>
      <c r="B36" s="5">
        <v>-1.2998508136584519</v>
      </c>
      <c r="C36" s="75">
        <f t="shared" si="19"/>
        <v>-3.0793935303893694</v>
      </c>
      <c r="D36" s="75"/>
      <c r="P36" s="98">
        <v>33</v>
      </c>
      <c r="Q36" s="97">
        <f t="shared" ref="Q36:Q53" si="20">B36-B35</f>
        <v>4.9497762204874221</v>
      </c>
      <c r="R36" s="75">
        <f t="shared" ref="R36:R53" si="21">Q36-AVERAGE($Q$4:$Q$52)</f>
        <v>4.9352864245690551</v>
      </c>
      <c r="S36" s="99"/>
      <c r="V36" s="1"/>
      <c r="AE36" s="81">
        <v>10</v>
      </c>
      <c r="AF36" s="78">
        <f t="shared" si="18"/>
        <v>-0.20466285631481446</v>
      </c>
      <c r="AG36" s="80">
        <f>AQ36</f>
        <v>-0.11252631430978571</v>
      </c>
      <c r="AH36" s="80">
        <f>AH35-(AP35*AQ36)</f>
        <v>-0.10455490011875847</v>
      </c>
      <c r="AI36" s="80">
        <f>AI35-(AO35*AQ36)</f>
        <v>-0.27287384024650424</v>
      </c>
      <c r="AJ36" s="80">
        <f>AJ35-(AN35*AQ36)</f>
        <v>-7.8344186500807489E-4</v>
      </c>
      <c r="AK36" s="1">
        <f>AK35-(AM35*AQ36)</f>
        <v>-0.20002045270615643</v>
      </c>
      <c r="AL36" s="1">
        <f>AL35-(AL35*AQ36)</f>
        <v>-0.19860583944595578</v>
      </c>
      <c r="AM36" s="1">
        <f>AM35-(AK35*AQ36)</f>
        <v>7.4469393436558007E-2</v>
      </c>
      <c r="AN36" s="1">
        <f>AN35-(AJ35*AQ36)</f>
        <v>-0.24986997494341165</v>
      </c>
      <c r="AO36" s="1">
        <f>AO35-(AI35*AQ36)</f>
        <v>1.7455116842419453E-2</v>
      </c>
      <c r="AP36" s="1">
        <f>AP35-(AH35*AQ36)</f>
        <v>-0.14217450477147062</v>
      </c>
      <c r="AQ36" s="79">
        <f>(AF36-(AH35*AF35+AI35*AF34+AJ35*AF33+AK35*AF32+AL35*AF31+AM35*AF30+AN35*AF29+AO35*AF28+AP35*AF27))/(1-(AH35*AF27+AI35*AF28+AJ35*AF29+AK35*AF30+AL35*AF31+AM35*AF32+AN35*AF33+AO35*AF34+AP35*AF35))</f>
        <v>-0.11252631430978571</v>
      </c>
      <c r="AR36" s="1"/>
      <c r="AS36" s="1"/>
      <c r="AT36" s="1"/>
      <c r="AU36" s="1"/>
      <c r="AV36" s="1"/>
      <c r="AW36" s="1"/>
      <c r="AX36" s="1"/>
      <c r="AY36" s="2"/>
      <c r="AZ36" s="2"/>
      <c r="BA36" s="2"/>
    </row>
    <row r="37" spans="1:53">
      <c r="A37" s="74">
        <v>35</v>
      </c>
      <c r="B37" s="5">
        <v>-1.0199403254634252</v>
      </c>
      <c r="C37" s="75">
        <f t="shared" si="19"/>
        <v>-2.7994830421943426</v>
      </c>
      <c r="D37" s="75"/>
      <c r="P37" s="98">
        <v>34</v>
      </c>
      <c r="Q37" s="97">
        <f t="shared" si="20"/>
        <v>0.27991048819502673</v>
      </c>
      <c r="R37" s="75">
        <f t="shared" si="21"/>
        <v>0.26542069227665932</v>
      </c>
      <c r="S37" s="99"/>
      <c r="V37" s="1"/>
      <c r="AE37" s="81">
        <v>11</v>
      </c>
      <c r="AF37" s="78">
        <f t="shared" si="18"/>
        <v>1.1682551443435385E-2</v>
      </c>
      <c r="AG37" s="80">
        <f>AR37</f>
        <v>-0.11311895824433384</v>
      </c>
      <c r="AH37" s="80">
        <f>AH36-(AQ36*AR37)</f>
        <v>-0.1172837595685559</v>
      </c>
      <c r="AI37" s="80">
        <f>AI36-(AP36*AR37)</f>
        <v>-0.28895647211515707</v>
      </c>
      <c r="AJ37" s="80">
        <f>AJ36-(AO36*AR37)</f>
        <v>1.1910627682395394E-3</v>
      </c>
      <c r="AK37" s="1">
        <f>AK36-(AN36*AR37)</f>
        <v>-0.22828548396829296</v>
      </c>
      <c r="AL37" s="1">
        <f>AL36-(AM36*AR37)</f>
        <v>-0.19018193923932492</v>
      </c>
      <c r="AM37" s="1">
        <f>AM36-(AL36*AR37)</f>
        <v>5.2003307777190061E-2</v>
      </c>
      <c r="AN37" s="1">
        <f>AN36-(AK36*AR37)</f>
        <v>-0.27249608018109212</v>
      </c>
      <c r="AO37" s="1">
        <f>AO36-(AJ36*AR37)</f>
        <v>1.7366494714804743E-2</v>
      </c>
      <c r="AP37" s="1">
        <f>AP36-(AI36*AR37)</f>
        <v>-0.17304170931228596</v>
      </c>
      <c r="AQ37" s="1">
        <f>AQ36-(AH36*AR37)</f>
        <v>-0.12435345569056004</v>
      </c>
      <c r="AR37" s="79">
        <f>(AF37-(AH36*AF36+AI36*AF35+AJ36*AF34+AK36*AF33+AL36*AF32+AM36*AF31+AN36*AF30+AO36*AF29+AP36*AF28+AQ36*AF27))/(1-(AH36*AF27+AI36*AF28+AJ36*AF29+AK36*AF30+AL36*AF31+AM36*AF32+AN36*AF33+AO36*AF34+AP36*AF35+AQ36*AF36))</f>
        <v>-0.11311895824433384</v>
      </c>
      <c r="AS37" s="1"/>
      <c r="AT37" s="1"/>
      <c r="AU37" s="1"/>
      <c r="AV37" s="1"/>
      <c r="AW37" s="1"/>
      <c r="AX37" s="1"/>
      <c r="AY37" s="2"/>
      <c r="AZ37" s="2"/>
      <c r="BA37" s="2"/>
    </row>
    <row r="38" spans="1:53">
      <c r="A38" s="74">
        <v>36</v>
      </c>
      <c r="B38" s="5">
        <v>-2.6079761301853921</v>
      </c>
      <c r="C38" s="75">
        <f t="shared" si="19"/>
        <v>-4.3875188469163096</v>
      </c>
      <c r="D38" s="75"/>
      <c r="P38" s="98">
        <v>35</v>
      </c>
      <c r="Q38" s="97">
        <f t="shared" si="20"/>
        <v>-1.5880358047219669</v>
      </c>
      <c r="R38" s="75">
        <f t="shared" si="21"/>
        <v>-1.6025256006403343</v>
      </c>
      <c r="S38" s="99"/>
      <c r="V38" s="1"/>
      <c r="AE38" s="81">
        <v>12</v>
      </c>
      <c r="AF38" s="78">
        <f t="shared" si="18"/>
        <v>0.14597368325436191</v>
      </c>
      <c r="AG38" s="80">
        <f>AS38</f>
        <v>3.6600657857219139E-3</v>
      </c>
      <c r="AH38" s="80">
        <f>AH37-(AR37*AS38)</f>
        <v>-0.1168697367397693</v>
      </c>
      <c r="AI38" s="80">
        <f>AI37-(AQ37*AS38)</f>
        <v>-0.28850133028664776</v>
      </c>
      <c r="AJ38" s="80">
        <f>AJ37-(AP37*AS38)</f>
        <v>1.8244068079962743E-3</v>
      </c>
      <c r="AK38" s="1">
        <f>AK37-(AO37*AS38)</f>
        <v>-0.22834904648141655</v>
      </c>
      <c r="AL38" s="1">
        <f>AL37-(AN37*AS38)</f>
        <v>-0.18918458565951077</v>
      </c>
      <c r="AM38" s="1">
        <f>AM37-(AM37*AS38)</f>
        <v>5.1812972249650403E-2</v>
      </c>
      <c r="AN38" s="1">
        <f>AN37-(AL37*AS38)</f>
        <v>-0.27180000177222002</v>
      </c>
      <c r="AO38" s="1">
        <f>AO37-(AK37*AS38)</f>
        <v>1.8202034604054059E-2</v>
      </c>
      <c r="AP38" s="1">
        <f>AP37-(AJ37*AS38)</f>
        <v>-0.17304606868037264</v>
      </c>
      <c r="AQ38" s="1">
        <f>AQ37-(AI37*AS38)</f>
        <v>-0.12329585599340845</v>
      </c>
      <c r="AR38" s="1">
        <f>AR37-(AH37*AS38)</f>
        <v>-0.11268969196871613</v>
      </c>
      <c r="AS38" s="79">
        <f>(AF38-(AH37*AF37+AI37*AF36+AJ37*AF35+AK37*AF34+AL37*AF33+AM37*AF32+AN37*AF31+AO37*AF30+AP37*AF29+AQ37*AF28+AR37*AF27))/(1-(AH37*AF27+AI37*AF28+AJ37*AF29+AK37*AF30+AL37*AF31+AM37*AF32+AN37*AF33+AO37*AF34+AP37*AF35+AQ37*AF36+AR37*AF37))</f>
        <v>3.6600657857219139E-3</v>
      </c>
      <c r="AT38" s="1"/>
      <c r="AU38" s="1"/>
      <c r="AV38" s="1"/>
      <c r="AW38" s="1"/>
      <c r="AX38" s="1"/>
      <c r="AY38" s="2"/>
      <c r="AZ38" s="2"/>
      <c r="BA38" s="2"/>
    </row>
    <row r="39" spans="1:53">
      <c r="A39" s="74">
        <v>37</v>
      </c>
      <c r="B39" s="5">
        <v>2.0568095479258304</v>
      </c>
      <c r="C39" s="75">
        <f t="shared" si="19"/>
        <v>0.27726683119491269</v>
      </c>
      <c r="D39" s="75"/>
      <c r="P39" s="98">
        <v>36</v>
      </c>
      <c r="Q39" s="97">
        <f t="shared" si="20"/>
        <v>4.6647856781112225</v>
      </c>
      <c r="R39" s="75">
        <f t="shared" si="21"/>
        <v>4.6502958821928555</v>
      </c>
      <c r="S39" s="99"/>
      <c r="V39" s="1"/>
      <c r="AE39" s="81">
        <v>13</v>
      </c>
      <c r="AF39" s="78">
        <f t="shared" si="18"/>
        <v>-0.10285272346124281</v>
      </c>
      <c r="AG39" s="80">
        <f>AT39</f>
        <v>-1.7231463230406509E-2</v>
      </c>
      <c r="AH39" s="80">
        <f>AH38-(AS38*AT39)</f>
        <v>-0.11680666845076176</v>
      </c>
      <c r="AI39" s="80">
        <f>AI38-(AR38*AT39)</f>
        <v>-0.2904431385702525</v>
      </c>
      <c r="AJ39" s="80">
        <f>AJ38-(AQ38*AT39)</f>
        <v>-3.0016120101563921E-4</v>
      </c>
      <c r="AK39" s="1">
        <f>AK38-(AP38*AT39)</f>
        <v>-0.2313308834510488</v>
      </c>
      <c r="AL39" s="1">
        <f>AL38-(AO38*AT39)</f>
        <v>-0.18887093796951243</v>
      </c>
      <c r="AM39" s="1">
        <f>AM38-(AN38*AT39)</f>
        <v>4.7129460513087973E-2</v>
      </c>
      <c r="AN39" s="1">
        <f>AN38-(AM38*AT39)</f>
        <v>-0.27090718844604211</v>
      </c>
      <c r="AO39" s="1">
        <f>AO38-(AL38*AT39)</f>
        <v>1.4942107372502509E-2</v>
      </c>
      <c r="AP39" s="1">
        <f>AP38-(AK38*AT39)</f>
        <v>-0.17698085687851556</v>
      </c>
      <c r="AQ39" s="1">
        <f>AQ38-(AJ38*AT39)</f>
        <v>-0.12326441879457915</v>
      </c>
      <c r="AR39" s="1">
        <f>AR38-(AI38*AT39)</f>
        <v>-0.11766099203347387</v>
      </c>
      <c r="AS39" s="1">
        <f>AS38-(AH38*AT39)</f>
        <v>1.6462292143432904E-3</v>
      </c>
      <c r="AT39" s="79">
        <f>(AF39-(AH38*AF38+AI38*AF37+AJ38*AF36+AK38*AF35+AL38*AF34+AM38*AF33+AN38*AF32+AO38*AF31+AP38*AF30+AQ38*AF29+AR38*AF28+AS38*AF27))/(1-(AH38*AF27+AI38*AF28+AJ38*AF29+AK38*AF30+AL38*AF31+AM38*AF32+AN38*AF33+AO38*AF34+AP38*AF35+AQ38*AF36+AR38*AF37+AS38*AF38))</f>
        <v>-1.7231463230406509E-2</v>
      </c>
      <c r="AU39" s="1"/>
      <c r="AV39" s="1"/>
      <c r="AW39" s="1"/>
      <c r="AX39" s="1"/>
      <c r="AY39" s="2"/>
      <c r="AZ39" s="2"/>
      <c r="BA39" s="2"/>
    </row>
    <row r="40" spans="1:53">
      <c r="A40" s="74">
        <v>38</v>
      </c>
      <c r="B40" s="5">
        <v>2.2227238191703229</v>
      </c>
      <c r="C40" s="75">
        <f t="shared" si="19"/>
        <v>0.44318110243940523</v>
      </c>
      <c r="D40" s="75"/>
      <c r="P40" s="98">
        <v>37</v>
      </c>
      <c r="Q40" s="97">
        <f t="shared" si="20"/>
        <v>0.16591427124449254</v>
      </c>
      <c r="R40" s="75">
        <f t="shared" si="21"/>
        <v>0.15142447532612516</v>
      </c>
      <c r="S40" s="99"/>
      <c r="V40" s="1"/>
      <c r="AE40" s="81">
        <v>14</v>
      </c>
      <c r="AF40" s="78">
        <f t="shared" si="18"/>
        <v>-1.0360626390901852E-2</v>
      </c>
      <c r="AG40" s="80">
        <f>AU40</f>
        <v>-0.14984868598341647</v>
      </c>
      <c r="AH40" s="80">
        <f>AH39-(AT39*AU40)</f>
        <v>-0.11938878057340974</v>
      </c>
      <c r="AI40" s="80">
        <f>AI39-(AS39*AU40)</f>
        <v>-0.29019645328565563</v>
      </c>
      <c r="AJ40" s="80">
        <f>AJ39-(AR39*AU40)</f>
        <v>-1.793150624873693E-2</v>
      </c>
      <c r="AK40" s="1">
        <f>AK39-(AQ39*AU40)</f>
        <v>-0.24980189463592603</v>
      </c>
      <c r="AL40" s="1">
        <f>AL39-(AP39*AU40)</f>
        <v>-0.21539128681697708</v>
      </c>
      <c r="AM40" s="1">
        <f>AM39-(AO39*AU40)</f>
        <v>4.9368515668680592E-2</v>
      </c>
      <c r="AN40" s="1">
        <f>AN39-(AN39*AU40)</f>
        <v>-0.31150227465814329</v>
      </c>
      <c r="AO40" s="1">
        <f>AO39-(AM39*AU40)</f>
        <v>2.2004395101496054E-2</v>
      </c>
      <c r="AP40" s="1">
        <f>AP39-(AL39*AU40)</f>
        <v>-0.20528291875370236</v>
      </c>
      <c r="AQ40" s="1">
        <f>AQ39-(AK39*AU40)</f>
        <v>-0.15792904770710167</v>
      </c>
      <c r="AR40" s="1">
        <f>AR39-(AJ39*AU40)</f>
        <v>-0.11770597079502927</v>
      </c>
      <c r="AS40" s="1">
        <f>AS39-(AI39*AU40)</f>
        <v>-4.1876293453308393E-2</v>
      </c>
      <c r="AT40" s="1">
        <f>AT39-(AH39*AU40)</f>
        <v>-3.4734789011853749E-2</v>
      </c>
      <c r="AU40" s="79">
        <f>(AF40-(AH39*AF39+AI39*AF38+AJ39*AF37+AK39*AF36+AL39*AF35+AM39*AF34+AN39*AF33+AO39*AF32+AP39*AF31+AQ39*AF30+AR39*AF29+AS39*AF28+AT39*AF27))/(1-(AH39*AF27+AI39*AF28+AJ39*AF29+AK39*AF30+AL39*AF31+AM39*AF32+AN39*AF33+AO39*AF34+AP39*AF35+AQ39*AF36+AR39*AF37+AS39*AF38+AT39*AF39))</f>
        <v>-0.14984868598341647</v>
      </c>
      <c r="AV40" s="1"/>
      <c r="AW40" s="1"/>
      <c r="AX40" s="1"/>
      <c r="AY40" s="2"/>
      <c r="AZ40" s="2"/>
      <c r="BA40" s="2"/>
    </row>
    <row r="41" spans="1:53">
      <c r="A41" s="74">
        <v>39</v>
      </c>
      <c r="B41" s="5">
        <v>0.58908952766812117</v>
      </c>
      <c r="C41" s="75">
        <f t="shared" si="19"/>
        <v>-1.1904531890627965</v>
      </c>
      <c r="D41" s="75"/>
      <c r="P41" s="98">
        <v>38</v>
      </c>
      <c r="Q41" s="97">
        <f t="shared" si="20"/>
        <v>-1.6336342915022017</v>
      </c>
      <c r="R41" s="75">
        <f t="shared" si="21"/>
        <v>-1.6481240874205692</v>
      </c>
      <c r="S41" s="99"/>
      <c r="V41" s="1"/>
      <c r="AE41" s="81">
        <v>15</v>
      </c>
      <c r="AF41" s="78">
        <f t="shared" si="18"/>
        <v>-1.1296492353172063E-2</v>
      </c>
      <c r="AG41" s="80">
        <f>AV41</f>
        <v>-0.10483463853500861</v>
      </c>
      <c r="AH41" s="80">
        <f>AH40-(AU40*AV41)</f>
        <v>-0.1350981134034272</v>
      </c>
      <c r="AI41" s="80">
        <f>AI40-(AT40*AV41)</f>
        <v>-0.2938378623363031</v>
      </c>
      <c r="AJ41" s="80">
        <f>AJ40-(AS40*AV41)</f>
        <v>-2.2321592336100461E-2</v>
      </c>
      <c r="AK41" s="1">
        <f>AK40-(AR40*AV41)</f>
        <v>-0.26214155753763518</v>
      </c>
      <c r="AL41" s="1">
        <f>AL40-(AQ40*AV41)</f>
        <v>-0.23194772144752923</v>
      </c>
      <c r="AM41" s="1">
        <f>AM40-(AP40*AV41)</f>
        <v>2.7847755083724664E-2</v>
      </c>
      <c r="AN41" s="1">
        <f>AN40-(AO40*AV41)</f>
        <v>-0.30919545185149644</v>
      </c>
      <c r="AO41" s="1">
        <f>AO40-(AN40*AV41)</f>
        <v>-1.0651833265123371E-2</v>
      </c>
      <c r="AP41" s="1">
        <f>AP40-(AM40*AV41)</f>
        <v>-0.20010738825856633</v>
      </c>
      <c r="AQ41" s="1">
        <f>AQ40-(AL40*AV41)</f>
        <v>-0.18050951540414983</v>
      </c>
      <c r="AR41" s="1">
        <f>AR40-(AK40*AV41)</f>
        <v>-0.14389386212454688</v>
      </c>
      <c r="AS41" s="1">
        <f>AS40-(AJ40*AV41)</f>
        <v>-4.3756136429282978E-2</v>
      </c>
      <c r="AT41" s="1">
        <f>AT40-(AI40*AV41)</f>
        <v>-6.5157429296196973E-2</v>
      </c>
      <c r="AU41" s="1">
        <f>AU40-(AH40*AV41)</f>
        <v>-0.16236476563996532</v>
      </c>
      <c r="AV41" s="79">
        <f>(AF41-(AH40*AF40+AI40*AF39+AJ40*AF38+AK40*AF37+AL40*AF36+AM40*AF35+AN40*AF34+AO40*AF33+AP40*AF32+AQ40*AF31+AR40*AF30+AS40*AF29+AT40*AF28+AU40*AF27))/(1-(AH40*AF27+AI40*AF28+AJ40*AF29+AK40*AF30+AL40*AF31+AM40*AF32+AN40*AF33+AO40*AF34+AP40*AF35+AQ40*AF36+AR40*AF37+AS40*AF38+AT40*AF39+AU40*AF40))</f>
        <v>-0.10483463853500861</v>
      </c>
      <c r="AW41" s="1"/>
      <c r="AX41" s="1"/>
      <c r="AY41" s="2"/>
      <c r="AZ41" s="2"/>
      <c r="BA41" s="2"/>
    </row>
    <row r="42" spans="1:53">
      <c r="A42" s="74">
        <v>40</v>
      </c>
      <c r="B42" s="5">
        <v>5.2356358110672412</v>
      </c>
      <c r="C42" s="75">
        <f t="shared" si="19"/>
        <v>3.4560930943363237</v>
      </c>
      <c r="D42" s="75"/>
      <c r="P42" s="98">
        <v>39</v>
      </c>
      <c r="Q42" s="97">
        <f t="shared" si="20"/>
        <v>4.64654628339912</v>
      </c>
      <c r="R42" s="75">
        <f t="shared" si="21"/>
        <v>4.632056487480753</v>
      </c>
      <c r="S42" s="99"/>
      <c r="V42" s="1"/>
      <c r="AE42" s="81">
        <v>16</v>
      </c>
      <c r="AF42" s="78">
        <f t="shared" si="18"/>
        <v>-2.1194584259988214E-2</v>
      </c>
      <c r="AG42" s="80">
        <f>AW42</f>
        <v>-3.8546459666535124E-2</v>
      </c>
      <c r="AH42" s="80">
        <f>AH41-(AV41*AW42)</f>
        <v>-0.13913911756937269</v>
      </c>
      <c r="AI42" s="80">
        <f>AI41-(AU41*AW42)</f>
        <v>-0.30009644922631046</v>
      </c>
      <c r="AJ42" s="80">
        <f>AJ41-(AT41*AW42)</f>
        <v>-2.4833180556441431E-2</v>
      </c>
      <c r="AK42" s="1">
        <f>AK41-(AS41*AW42)</f>
        <v>-0.26382820168566995</v>
      </c>
      <c r="AL42" s="1">
        <f>AL41-(AR41*AW42)</f>
        <v>-0.23749432040017504</v>
      </c>
      <c r="AM42" s="1">
        <f>AM41-(AQ41*AW42)</f>
        <v>2.0889752328772802E-2</v>
      </c>
      <c r="AN42" s="1">
        <f>AN41-(AP41*AW42)</f>
        <v>-0.31690888322198096</v>
      </c>
      <c r="AO42" s="1">
        <f>AO41-(AO41*AW42)</f>
        <v>-1.1062423726452105E-2</v>
      </c>
      <c r="AP42" s="1">
        <f>AP41-(AN41*AW42)</f>
        <v>-0.21202577827243616</v>
      </c>
      <c r="AQ42" s="1">
        <f>AQ41-(AM41*AW42)</f>
        <v>-0.1794360830360115</v>
      </c>
      <c r="AR42" s="1">
        <f>AR41-(AL41*AW42)</f>
        <v>-0.1528346256140688</v>
      </c>
      <c r="AS42" s="1">
        <f>AS41-(AK41*AW42)</f>
        <v>-5.3860765403830127E-2</v>
      </c>
      <c r="AT42" s="1">
        <f>AT41-(AJ41*AW42)</f>
        <v>-6.6017847654873313E-2</v>
      </c>
      <c r="AU42" s="1">
        <f>AU41-(AI41*AW42)</f>
        <v>-0.17369117494901254</v>
      </c>
      <c r="AV42" s="1">
        <f>AV41-(AH41*AW42)</f>
        <v>-0.1100421925143388</v>
      </c>
      <c r="AW42" s="79">
        <f>(AF42-(AH41*AF41+AI41*AF40+AJ41*AF39+AK41*AF38+AL41*AF37+AM41*AF36+AN41*AF35+AO41*AF34+AP41*AF33+AQ41*AF32+AR41*AF31+AS41*AF30+AT41*AF29+AU41*AF28+AV41*AF27))/(1-(AH41*AF27+AI41*AF28+AJ41*AF29+AK41*AF30+AL41*AF31+AM41*AF32+AN41*AF33+AO41*AF34+AP41*AF35+AQ41*AF36+AR41*AF37+AS41*AF38+AT41*AF39+AU41*AF40+AV41*AF41))</f>
        <v>-3.8546459666535124E-2</v>
      </c>
      <c r="AX42" s="1"/>
      <c r="AY42" s="2"/>
      <c r="AZ42" s="2"/>
      <c r="BA42" s="2"/>
    </row>
    <row r="43" spans="1:53">
      <c r="A43" s="74">
        <v>41</v>
      </c>
      <c r="B43" s="5">
        <v>1.3942543244268895</v>
      </c>
      <c r="C43" s="75">
        <f t="shared" si="19"/>
        <v>-0.38528839230402823</v>
      </c>
      <c r="D43" s="75"/>
      <c r="P43" s="98">
        <v>40</v>
      </c>
      <c r="Q43" s="97">
        <f t="shared" si="20"/>
        <v>-3.8413814866403517</v>
      </c>
      <c r="R43" s="75">
        <f t="shared" si="21"/>
        <v>-3.8558712825587191</v>
      </c>
      <c r="S43" s="99"/>
      <c r="V43" s="1"/>
      <c r="AE43" s="81">
        <v>17</v>
      </c>
      <c r="AF43" s="78">
        <f t="shared" si="18"/>
        <v>5.9117195598321709E-2</v>
      </c>
      <c r="AG43" s="80">
        <f>AX43</f>
        <v>-2.2925008978743205E-2</v>
      </c>
      <c r="AH43" s="80">
        <f>AH42-(AW42*AX43)</f>
        <v>-0.14002279550332677</v>
      </c>
      <c r="AI43" s="80">
        <f>AI42-(AV42*AX43)</f>
        <v>-0.30261916747774226</v>
      </c>
      <c r="AJ43" s="80">
        <f>AJ42-(AU42*AX43)</f>
        <v>-2.8815052301676001E-2</v>
      </c>
      <c r="AK43" s="1">
        <f>AK42-(AT42*AX43)</f>
        <v>-0.2653416614359152</v>
      </c>
      <c r="AL43" s="1">
        <f>AL42-(AS42*AX43)</f>
        <v>-0.23872907893065984</v>
      </c>
      <c r="AM43" s="1">
        <f>AM42-(AR42*AX43)</f>
        <v>1.7386017164307419E-2</v>
      </c>
      <c r="AN43" s="1">
        <f>AN42-(AQ42*AX43)</f>
        <v>-0.32102245703669202</v>
      </c>
      <c r="AO43" s="1">
        <f>AO42-(AP42*AX43)</f>
        <v>-1.5923116597072719E-2</v>
      </c>
      <c r="AP43" s="1">
        <f>AP42-(AO42*AX43)</f>
        <v>-0.21227938443569172</v>
      </c>
      <c r="AQ43" s="1">
        <f>AQ42-(AN42*AX43)</f>
        <v>-0.18670122202931888</v>
      </c>
      <c r="AR43" s="1">
        <f>AR42-(AM42*AX43)</f>
        <v>-0.15235572785436796</v>
      </c>
      <c r="AS43" s="1">
        <f>AS42-(AL42*AX43)</f>
        <v>-5.9305324831404653E-2</v>
      </c>
      <c r="AT43" s="1">
        <f>AT42-(AK42*AX43)</f>
        <v>-7.2066111547362977E-2</v>
      </c>
      <c r="AU43" s="1">
        <f>AU42-(AJ42*AX43)</f>
        <v>-0.17426047583623971</v>
      </c>
      <c r="AV43" s="1">
        <f>AV42-(AI42*AX43)</f>
        <v>-0.11692190630734092</v>
      </c>
      <c r="AW43" s="1">
        <f>AW42-(AH42*AX43)</f>
        <v>-4.1736225186107402E-2</v>
      </c>
      <c r="AX43" s="79">
        <f>(AF43-(AH42*AF42+AI42*AF41+AJ42*AF40+AK42*AF39+AL42*AF38+AM42*AF37+AN42*AF36+AO42*AF35+AP42*AF34+AQ42*AF33+AR42*AF32+AS42*AF31+AT42*AF30+AU42*AF29+AV42*AF28+AW42*AF27))/(1-(AH42*AF27+AI42*AF28+AJ42*AF29+AK42*AF30+AL42*AF31+AM42*AF32+AN42*AF33+AO42*AF34+AP42*AF35+AQ42*AF36+AR42*AF37+AS42*AF38+AT42*AF39+AU42*AF40+AV42*AF41+AW42*AF42))</f>
        <v>-2.2925008978743205E-2</v>
      </c>
      <c r="AY43" s="2"/>
      <c r="AZ43" s="2"/>
      <c r="BA43" s="2"/>
    </row>
    <row r="44" spans="1:53">
      <c r="A44" s="74">
        <v>42</v>
      </c>
      <c r="B44" s="5">
        <v>2.1577017297707481</v>
      </c>
      <c r="C44" s="75">
        <f t="shared" si="19"/>
        <v>0.37815901303983046</v>
      </c>
      <c r="D44" s="75"/>
      <c r="P44" s="98">
        <v>41</v>
      </c>
      <c r="Q44" s="97">
        <f t="shared" si="20"/>
        <v>0.76344740534385869</v>
      </c>
      <c r="R44" s="75">
        <f t="shared" si="21"/>
        <v>0.74895760942549128</v>
      </c>
      <c r="S44" s="99"/>
      <c r="V44" s="1"/>
      <c r="AE44" s="83">
        <v>18</v>
      </c>
      <c r="AF44" s="78">
        <f t="shared" si="18"/>
        <v>0.17107451331661525</v>
      </c>
      <c r="AG44" s="80">
        <f>AX44</f>
        <v>-2.3050699688338186E-3</v>
      </c>
      <c r="AH44" s="80">
        <f>AH43-(AX43*AY44)</f>
        <v>-0.13664682885986637</v>
      </c>
      <c r="AI44" s="80">
        <f>AI43-(AW43*AY44)</f>
        <v>-0.29647303666562796</v>
      </c>
      <c r="AJ44" s="80">
        <f>AJ43-(AV43*AY44)</f>
        <v>-1.1596980284806227E-2</v>
      </c>
      <c r="AK44" s="1">
        <f>AK43-(AU43*AY44)</f>
        <v>-0.23967983708321056</v>
      </c>
      <c r="AL44" s="1">
        <f>AL43-(AT43*AY44)</f>
        <v>-0.22811652959934295</v>
      </c>
      <c r="AM44" s="1">
        <f>AM43-(AS43*AY44)</f>
        <v>2.6119396444378815E-2</v>
      </c>
      <c r="AN44" s="1">
        <f>AN43-(AR43*AY44)</f>
        <v>-0.29858635436587527</v>
      </c>
      <c r="AO44" s="1">
        <f>AO43-(AQ43*AY44)</f>
        <v>1.1570748223163927E-2</v>
      </c>
      <c r="AP44" s="1">
        <f>AP43-(AP43*AY44)</f>
        <v>-0.18101884614697378</v>
      </c>
      <c r="AQ44" s="1">
        <f>AQ43-(AO43*AY44)</f>
        <v>-0.18435636316616674</v>
      </c>
      <c r="AR44" s="1">
        <f>AR43-(AN43*AY44)</f>
        <v>-0.10508154323954519</v>
      </c>
      <c r="AS44" s="1">
        <f>AS43-(AM43*AY44)</f>
        <v>-6.1865612335054297E-2</v>
      </c>
      <c r="AT44" s="1">
        <f>AT43-(AL43*AY44)</f>
        <v>-3.691055684109306E-2</v>
      </c>
      <c r="AU44" s="1">
        <f>AU43-(AK43*AY44)</f>
        <v>-0.13518591761213539</v>
      </c>
      <c r="AV44" s="1">
        <f>AV43-(AJ43*AY44)</f>
        <v>-0.11267856422227455</v>
      </c>
      <c r="AW44" s="1">
        <f>AW43-(AI43*AY44)</f>
        <v>2.8278670689450627E-3</v>
      </c>
      <c r="AX44" s="76">
        <f>AX43-(AH43*AY44)</f>
        <v>-2.3050699688338186E-3</v>
      </c>
      <c r="AY44" s="79">
        <f>(AF44-(AH43*AF43+AI43*AF42+AJ43*AF41+AK43*AF40+AL43*AF39+AM43*AF38+AN43*AF37+AO43*AF36+AP43*AF35+AQ43*AF34+AR43*AF33+AS43*AF32+AT43*AF31+AU43*AF30+AV43*AF29+AW43*AF28+AX43*AF27))/(1-(AH43*AF27+AI43*AF28+AJ43*AF29+AK43*AF30+AL43*AF31+AM43*AF32+AN43*AF33+AO43*AF34+AP43*AF35+AQ43*AF36+AR43*AF37+AS43*AF38+AT43*AF39+AU43*AF40+AV43*AF41+AW43*AF42+AX43*AF43))</f>
        <v>0.14726130081740499</v>
      </c>
      <c r="AZ44" s="2"/>
      <c r="BA44" s="2"/>
    </row>
    <row r="45" spans="1:53">
      <c r="A45" s="74">
        <v>43</v>
      </c>
      <c r="B45" s="5">
        <v>6.763080691908292</v>
      </c>
      <c r="C45" s="75">
        <f t="shared" si="19"/>
        <v>4.9835379751773745</v>
      </c>
      <c r="D45" s="75"/>
      <c r="P45" s="98">
        <v>42</v>
      </c>
      <c r="Q45" s="97">
        <f t="shared" si="20"/>
        <v>4.6053789621375438</v>
      </c>
      <c r="R45" s="75">
        <f t="shared" si="21"/>
        <v>4.5908891662191769</v>
      </c>
      <c r="S45" s="99"/>
      <c r="V45" s="1"/>
      <c r="AE45" s="83">
        <v>19</v>
      </c>
      <c r="AF45" s="78">
        <f t="shared" si="18"/>
        <v>-0.15555016171783487</v>
      </c>
      <c r="AG45" s="80">
        <f>AX45</f>
        <v>-5.1369699112283007E-2</v>
      </c>
      <c r="AH45" s="80">
        <f>AH44-(AY44*AZ45)</f>
        <v>-0.1122759073317247</v>
      </c>
      <c r="AI45" s="80">
        <f>AI44-(AX44*AZ45)</f>
        <v>-0.29685451285126196</v>
      </c>
      <c r="AJ45" s="80">
        <f>AJ44-(AW44*AZ45)</f>
        <v>-1.1128984103550638E-2</v>
      </c>
      <c r="AK45" s="1">
        <f>AK44-(AV44*AZ45)</f>
        <v>-0.25832750915538449</v>
      </c>
      <c r="AL45" s="1">
        <f>AL44-(AU44*AZ45)</f>
        <v>-0.25048904275485478</v>
      </c>
      <c r="AM45" s="1">
        <f>AM44-(AT44*AZ45)</f>
        <v>2.0010905759173803E-2</v>
      </c>
      <c r="AN45" s="1">
        <f>AN44-(AR44*AZ45)</f>
        <v>-0.3159767619619781</v>
      </c>
      <c r="AO45" s="1">
        <f>AO44-(AR44*AZ45)</f>
        <v>-5.8196593729388894E-3</v>
      </c>
      <c r="AP45" s="1">
        <f>AP44-(AQ44*AZ45)</f>
        <v>-0.21152879298974411</v>
      </c>
      <c r="AQ45" s="1">
        <f>AQ44-(AP44*AZ45)</f>
        <v>-0.21431396961181914</v>
      </c>
      <c r="AR45" s="1">
        <f>AR44-(AO44*AZ45)</f>
        <v>-0.1031666491336031</v>
      </c>
      <c r="AS45" s="1">
        <f>AS44-(AN44*AZ45)</f>
        <v>-0.11127998373631921</v>
      </c>
      <c r="AT45" s="1">
        <f>AT44-(AM44*AZ45)</f>
        <v>-3.2587942837447481E-2</v>
      </c>
      <c r="AU45" s="1">
        <f>AU44-(AL44*AZ45)</f>
        <v>-0.1729379272119346</v>
      </c>
      <c r="AV45" s="1">
        <f>AV44-(AK44*AZ45)</f>
        <v>-0.15234423652728468</v>
      </c>
      <c r="AW45" s="1">
        <f>AW44-(AJ44*AZ45)</f>
        <v>9.0863170353931103E-4</v>
      </c>
      <c r="AX45" s="76">
        <f>AX44-(AI44*AZ45)</f>
        <v>-5.1369699112283007E-2</v>
      </c>
      <c r="AY45" s="76">
        <f>AY44-(AH44*AZ45)</f>
        <v>0.12464701502250723</v>
      </c>
      <c r="AZ45" s="79">
        <f>(AF45-(AH44*AF44+AI44*AF43+AJ44*AF42+AK44*AF41+AL44*AF40+AM44*AF39+AN44*AF38+AO44*AF37+AP44*AF36+AQ44*AF35+AR44*AF34+AS44*AF33+AT44*AF32+AU44*AF31+AV44*AF30+AW44*AF29+AX44*AF28+AY44*AF27))/(1-(AH44*AF27+AI44*AF28+AJ44*AF29+AK44*AF30+AL44*AF31+AM44*AF32+AN44*AF33+AO44*AF34+AP44*AF35+AQ44*AF36+AR44*AF37+AS44*AF38+AT44*AF39+AU44*AF40+AV44*AF41+AW44*AF42+AX44*AF43+AY44*AF44))</f>
        <v>-0.16549440615331873</v>
      </c>
      <c r="BA45" s="2"/>
    </row>
    <row r="46" spans="1:53">
      <c r="A46" s="74">
        <v>44</v>
      </c>
      <c r="B46" s="5">
        <v>4.905232276763309</v>
      </c>
      <c r="C46" s="75">
        <f t="shared" si="19"/>
        <v>3.1256895600323915</v>
      </c>
      <c r="D46" s="75"/>
      <c r="P46" s="98">
        <v>43</v>
      </c>
      <c r="Q46" s="97">
        <f t="shared" si="20"/>
        <v>-1.857848415144983</v>
      </c>
      <c r="R46" s="75">
        <f t="shared" si="21"/>
        <v>-1.8723382110633504</v>
      </c>
      <c r="S46" s="99"/>
      <c r="V46" s="1"/>
      <c r="AE46" s="83">
        <v>20</v>
      </c>
      <c r="AF46" s="78">
        <f t="shared" si="18"/>
        <v>-1.9766773118641837E-2</v>
      </c>
      <c r="AG46" s="80">
        <f>AX46</f>
        <v>-5.1792374058407115E-2</v>
      </c>
      <c r="AH46" s="80">
        <f>AH45-(AZ45*BA46)</f>
        <v>-0.1185613273263833</v>
      </c>
      <c r="AI46" s="80">
        <f>AI45-(AY45*BA46)</f>
        <v>-0.29212046256698132</v>
      </c>
      <c r="AJ46" s="80">
        <f>AJ45-(AX45*BA46)</f>
        <v>-1.3079987411909076E-2</v>
      </c>
      <c r="AK46" s="1">
        <f>AK45-(AW45*AI46)</f>
        <v>-0.25806207924184354</v>
      </c>
      <c r="AL46" s="1">
        <f>AL45-(AV45*BA46)</f>
        <v>-0.25627502388011708</v>
      </c>
      <c r="AM46" s="1">
        <f>AM45-(AU45*BA46)</f>
        <v>1.3442783423209825E-2</v>
      </c>
      <c r="AN46" s="1">
        <f>AN45-(AR45*BA46)</f>
        <v>-0.31989499541964278</v>
      </c>
      <c r="AO46" s="1">
        <f>AO45-(AS45*BA46)</f>
        <v>-1.0046034457384716E-2</v>
      </c>
      <c r="AP46" s="1">
        <f>AP45-(AR45*BA46)</f>
        <v>-0.21544702644740876</v>
      </c>
      <c r="AQ46" s="1">
        <f>AQ45-(AQ45*BA46)</f>
        <v>-0.2224535396495208</v>
      </c>
      <c r="AR46" s="1">
        <f>AR45-(AP45*BA46)</f>
        <v>-0.11120043913174966</v>
      </c>
      <c r="AS46" s="1">
        <f>AS45-(AO45*BA46)</f>
        <v>-0.11150101237550405</v>
      </c>
      <c r="AT46" s="1">
        <f>AT45-(AN45*BA46)</f>
        <v>-4.4588630375148104E-2</v>
      </c>
      <c r="AU46" s="1">
        <f>AU45-(AM45*BA46)</f>
        <v>-0.17217791997003776</v>
      </c>
      <c r="AV46" s="1">
        <f>AV45-(AL45*BA46)</f>
        <v>-0.16185772326299744</v>
      </c>
      <c r="AW46" s="1">
        <f>AW45-(AK45*BA46)</f>
        <v>-8.9025572602215962E-3</v>
      </c>
      <c r="AX46" s="76">
        <f>AX45-(AJ45*BA46)</f>
        <v>-5.1792374058407115E-2</v>
      </c>
      <c r="AY46" s="76">
        <f>AY45-(AH45*BA46)</f>
        <v>0.12038281510624253</v>
      </c>
      <c r="AZ46" s="76">
        <f>AZ45-(AH45*BA46)</f>
        <v>-0.16975860606958343</v>
      </c>
      <c r="BA46" s="79">
        <f>(AF46-(AH45*AF45+AI45*AF44+AJ45*AF43+AK45*AF42+AL45*AF41+AM45*AF40+AN45*AF39+AO45*AF38+AP45*AF37+AQ45*AF36+AR45*AF35+AS45*AF34+AT45*AF33+AU45*AF32+AV45*AF31+AW45*AF30+AX45*AF29+AY45*AF28+AZ45*AF27))/(1-(AH45*AF27+AI45*AF28+AJ45*AF29+AK45*AF30+AL45*AF31+AM45*AF32+AN45*AF33+AO45*AF34+AP45*AF35+AQ45*AF36+AR45*AF37+AS45*AF38+AT45*AF39+AU45*AF40+AV45*AF41+AW45*AF42+AX45*AF43+AY45*AF44+AZ45*AF45))</f>
        <v>-3.7979652247796258E-2</v>
      </c>
    </row>
    <row r="47" spans="1:53">
      <c r="A47" s="74">
        <v>45</v>
      </c>
      <c r="B47" s="5">
        <v>1.4620929107053158</v>
      </c>
      <c r="C47" s="75">
        <f t="shared" si="19"/>
        <v>-0.31744980602560191</v>
      </c>
      <c r="D47" s="75"/>
      <c r="P47" s="98">
        <v>44</v>
      </c>
      <c r="Q47" s="97">
        <f t="shared" si="20"/>
        <v>-3.4431393660579932</v>
      </c>
      <c r="R47" s="75">
        <f t="shared" si="21"/>
        <v>-3.4576291619763606</v>
      </c>
      <c r="S47" s="99"/>
      <c r="V47" s="1"/>
    </row>
    <row r="48" spans="1:53">
      <c r="A48" s="74">
        <v>46</v>
      </c>
      <c r="B48" s="5">
        <v>-1.6151628357178818</v>
      </c>
      <c r="C48" s="75">
        <f t="shared" si="19"/>
        <v>-3.3947055524487997</v>
      </c>
      <c r="D48" s="75"/>
      <c r="P48" s="98">
        <v>45</v>
      </c>
      <c r="Q48" s="97">
        <f t="shared" si="20"/>
        <v>-3.0772557464231975</v>
      </c>
      <c r="R48" s="75">
        <f t="shared" si="21"/>
        <v>-3.091745542341565</v>
      </c>
      <c r="S48" s="99"/>
      <c r="V48" s="1"/>
    </row>
    <row r="49" spans="1:22">
      <c r="A49" s="74">
        <v>47</v>
      </c>
      <c r="B49" s="5">
        <v>-4.5460651342871614</v>
      </c>
      <c r="C49" s="75">
        <f t="shared" si="19"/>
        <v>-6.3256078510180789</v>
      </c>
      <c r="D49" s="75"/>
      <c r="P49" s="98">
        <v>46</v>
      </c>
      <c r="Q49" s="97">
        <f t="shared" si="20"/>
        <v>-2.9309022985692796</v>
      </c>
      <c r="R49" s="75">
        <f t="shared" si="21"/>
        <v>-2.9453920944876471</v>
      </c>
      <c r="S49" s="99"/>
      <c r="V49" s="1"/>
    </row>
    <row r="50" spans="1:22">
      <c r="A50" s="74">
        <v>48</v>
      </c>
      <c r="B50" s="5">
        <v>-1.4184260537148732</v>
      </c>
      <c r="C50" s="75">
        <f t="shared" si="19"/>
        <v>-3.1979687704457911</v>
      </c>
      <c r="D50" s="75"/>
      <c r="P50" s="98">
        <v>47</v>
      </c>
      <c r="Q50" s="97">
        <f t="shared" si="20"/>
        <v>3.1276390805722882</v>
      </c>
      <c r="R50" s="75">
        <f t="shared" si="21"/>
        <v>3.1131492846539208</v>
      </c>
      <c r="S50" s="99"/>
      <c r="V50" s="1"/>
    </row>
    <row r="51" spans="1:22">
      <c r="A51" s="74">
        <v>49</v>
      </c>
      <c r="B51" s="5">
        <v>1.1326295785140421</v>
      </c>
      <c r="C51" s="75">
        <f t="shared" si="19"/>
        <v>-0.64691313821687557</v>
      </c>
      <c r="D51" s="75"/>
      <c r="P51" s="98">
        <v>48</v>
      </c>
      <c r="Q51" s="97">
        <f t="shared" si="20"/>
        <v>2.5510556322289153</v>
      </c>
      <c r="R51" s="75">
        <f t="shared" si="21"/>
        <v>2.5365658363105479</v>
      </c>
      <c r="S51" s="99"/>
      <c r="V51" s="1"/>
    </row>
    <row r="52" spans="1:22">
      <c r="A52" s="74">
        <v>50</v>
      </c>
      <c r="B52" s="5">
        <v>2.0099999999999998</v>
      </c>
      <c r="C52" s="75">
        <f t="shared" si="19"/>
        <v>0.2304572832690821</v>
      </c>
      <c r="P52" s="98">
        <v>49</v>
      </c>
      <c r="Q52" s="97">
        <f t="shared" si="20"/>
        <v>0.87737042148595767</v>
      </c>
      <c r="R52" s="75">
        <f t="shared" si="21"/>
        <v>0.86288062556759026</v>
      </c>
      <c r="S52" s="99"/>
    </row>
    <row r="53" spans="1:22">
      <c r="P53" s="98">
        <v>50</v>
      </c>
      <c r="Q53" s="97">
        <f t="shared" si="20"/>
        <v>-2.0099999999999998</v>
      </c>
      <c r="R53" s="75">
        <f t="shared" si="21"/>
        <v>-2.0244897959183672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2"/>
  <sheetViews>
    <sheetView tabSelected="1" zoomScale="80" zoomScaleNormal="80" workbookViewId="0">
      <selection activeCell="E29" sqref="E29"/>
    </sheetView>
  </sheetViews>
  <sheetFormatPr defaultRowHeight="15"/>
  <cols>
    <col min="1" max="1" width="22.7109375" customWidth="1"/>
    <col min="2" max="2" width="7.7109375" customWidth="1"/>
    <col min="3" max="3" width="22.5703125" customWidth="1"/>
    <col min="4" max="4" width="3.7109375" style="17" customWidth="1"/>
    <col min="5" max="5" width="25.7109375" customWidth="1"/>
    <col min="6" max="6" width="13" customWidth="1"/>
    <col min="7" max="7" width="23.28515625" customWidth="1"/>
    <col min="8" max="8" width="11.5703125" customWidth="1"/>
    <col min="9" max="9" width="3.5703125" customWidth="1"/>
    <col min="10" max="10" width="3.85546875" customWidth="1"/>
    <col min="11" max="11" width="6" style="2" customWidth="1"/>
    <col min="12" max="12" width="13.140625" customWidth="1"/>
    <col min="13" max="13" width="12.7109375" customWidth="1"/>
    <col min="14" max="14" width="11.7109375" customWidth="1"/>
    <col min="15" max="15" width="9" style="2" customWidth="1"/>
  </cols>
  <sheetData>
    <row r="1" spans="1:18" ht="18">
      <c r="A1" s="18" t="s">
        <v>39</v>
      </c>
      <c r="B1" s="19" t="s">
        <v>5</v>
      </c>
      <c r="C1" s="20" t="s">
        <v>36</v>
      </c>
      <c r="D1" s="21"/>
      <c r="E1" s="129" t="s">
        <v>94</v>
      </c>
      <c r="F1" s="130" t="s">
        <v>5</v>
      </c>
      <c r="G1" s="131" t="s">
        <v>36</v>
      </c>
      <c r="I1" s="67"/>
      <c r="J1" s="12"/>
      <c r="K1" s="3" t="s">
        <v>35</v>
      </c>
      <c r="L1" s="9" t="s">
        <v>12</v>
      </c>
      <c r="M1" s="9" t="s">
        <v>13</v>
      </c>
      <c r="N1" s="9" t="s">
        <v>6</v>
      </c>
      <c r="O1" s="4" t="s">
        <v>8</v>
      </c>
    </row>
    <row r="2" spans="1:18">
      <c r="A2" s="123" t="s">
        <v>89</v>
      </c>
      <c r="B2" s="124">
        <f>COUNT(K2:K51)</f>
        <v>50</v>
      </c>
      <c r="C2" s="125"/>
      <c r="D2" s="24"/>
      <c r="E2" s="132" t="s">
        <v>95</v>
      </c>
      <c r="F2" s="133">
        <f ca="1">AVERAGE(N3:N51)</f>
        <v>1.7767342151732748</v>
      </c>
      <c r="G2" s="134"/>
      <c r="I2" s="64"/>
      <c r="J2" s="11"/>
      <c r="K2" s="5">
        <f>'1. ACF_PACF'!B3</f>
        <v>1.2999999999999998</v>
      </c>
      <c r="L2" s="5">
        <v>0</v>
      </c>
      <c r="M2" s="13">
        <v>0</v>
      </c>
      <c r="N2" s="5">
        <v>0</v>
      </c>
      <c r="O2" s="6">
        <v>0</v>
      </c>
    </row>
    <row r="3" spans="1:18">
      <c r="A3" s="22" t="s">
        <v>90</v>
      </c>
      <c r="B3" s="84">
        <f>AVERAGE(K2:K51)</f>
        <v>1.7795427167309177</v>
      </c>
      <c r="C3" s="23"/>
      <c r="D3" s="24"/>
      <c r="E3" s="132" t="s">
        <v>96</v>
      </c>
      <c r="F3" s="133">
        <f ca="1">STDEV(N3:N51)</f>
        <v>3.4677461182320624</v>
      </c>
      <c r="G3" s="134"/>
      <c r="I3" s="64"/>
      <c r="J3" s="11"/>
      <c r="K3" s="5">
        <f>'1. ACF_PACF'!B4</f>
        <v>8.6</v>
      </c>
      <c r="L3" s="5">
        <f ca="1">IF($F$6 &lt;= 1,SUMPRODUCT(OFFSET($F$10,-1,0):OFFSET($F$10,-$F$6,0),OFFSET(K3,-$F$6,0):OFFSET(K3,-1,0)),0)</f>
        <v>1.0398784149611118</v>
      </c>
      <c r="M3" s="13">
        <f ca="1">IF($G$6 &lt;= 1,SUMPRODUCT(OFFSET($G$10,-1,0):OFFSET($G$10,-$G$6,0),OFFSET(O3,-$G$6,0):OFFSET(O3,-1,0)),0)</f>
        <v>0</v>
      </c>
      <c r="N3" s="5">
        <f ca="1">IF(F6=1,$B$6+L3+M3,0)</f>
        <v>1.3959533935153083</v>
      </c>
      <c r="O3" s="6">
        <f ca="1">IF(F6=1,K3-N3,0)</f>
        <v>7.2040466064846918</v>
      </c>
      <c r="P3" s="5"/>
      <c r="R3" s="10"/>
    </row>
    <row r="4" spans="1:18">
      <c r="A4" s="22" t="s">
        <v>91</v>
      </c>
      <c r="B4" s="84">
        <f>_xlfn.STDEV.S(K2:K51)</f>
        <v>3.7876279052321848</v>
      </c>
      <c r="C4" s="23"/>
      <c r="D4" s="24"/>
      <c r="E4" s="135" t="s">
        <v>97</v>
      </c>
      <c r="F4" s="136">
        <f ca="1">RSQ(K2:K51,N2:N51)</f>
        <v>0.49272138935386783</v>
      </c>
      <c r="G4" s="137"/>
      <c r="I4" s="64"/>
      <c r="J4" s="11"/>
      <c r="K4" s="5">
        <f>'1. ACF_PACF'!B5</f>
        <v>12.132</v>
      </c>
      <c r="L4" s="5">
        <f ca="1">IF($F$6 &lt;= 2,SUMPRODUCT(OFFSET($F$10,-1,0):OFFSET($F$10,-$F$6,0),OFFSET(K4,-$F$6,0):OFFSET(K4,-1,0)),0)</f>
        <v>6.8791956682042779</v>
      </c>
      <c r="M4" s="13">
        <f ca="1">IF($G$6 &lt;= 2,SUMPRODUCT(OFFSET($G$10,-1,0):OFFSET($G$10,-$G$6,0),OFFSET(O4,-$G$6,0):OFFSET(O4,-1,0)),0)</f>
        <v>1.8172544970516928</v>
      </c>
      <c r="N4" s="5">
        <f ca="1">IF(F6&lt;=2,$B$6 +L4+M4,0)</f>
        <v>9.0525251438101666</v>
      </c>
      <c r="O4" s="6">
        <f ca="1">IF(F6&lt;=2,K4-N4,0)</f>
        <v>3.0794748561898331</v>
      </c>
    </row>
    <row r="5" spans="1:18">
      <c r="A5" s="25" t="s">
        <v>85</v>
      </c>
      <c r="B5" s="84">
        <f>1.96*B4/SQRT(B2)</f>
        <v>1.0498768915492216</v>
      </c>
      <c r="C5" s="85" t="str">
        <f>IF(B3&gt;B5,"Use Delta from B6", "Delta from B6 not needed")</f>
        <v>Use Delta from B6</v>
      </c>
      <c r="D5" s="27"/>
      <c r="I5" s="64"/>
      <c r="J5" s="11"/>
      <c r="K5" s="5">
        <f>'1. ACF_PACF'!B6</f>
        <v>10.9696</v>
      </c>
      <c r="L5" s="5">
        <f ca="1">IF($F$6 &lt;= 3,SUMPRODUCT(OFFSET($F$10,-1,0):OFFSET($F$10,-$F$6,0),OFFSET(K5,-$F$6,0):OFFSET(K5,-1,0)),0)</f>
        <v>9.7044653310063147</v>
      </c>
      <c r="M5" s="13">
        <f ca="1">IF($G$6 &lt;= 3,SUMPRODUCT(OFFSET($G$10,-1,0):OFFSET($G$10,-$G$6,0),OFFSET(O5,-$G$6,0):OFFSET(O5,-1,0)),0)</f>
        <v>0.77681195537119418</v>
      </c>
      <c r="N5" s="5">
        <f ca="1">IF($B$4&gt;1,$B$6 +L5+M5,L5+M5)</f>
        <v>10.837352264931706</v>
      </c>
      <c r="O5" s="6">
        <f t="shared" ref="O5:O16" ca="1" si="0">K5-N5</f>
        <v>0.13224773506829379</v>
      </c>
      <c r="P5" s="13"/>
    </row>
    <row r="6" spans="1:18">
      <c r="A6" s="126" t="s">
        <v>92</v>
      </c>
      <c r="B6" s="84">
        <f ca="1">B3*(1-(SUM(OFFSET(F10,-1,0,):OFFSET(F10,-F6,0))))</f>
        <v>0.35607497855419651</v>
      </c>
      <c r="C6" s="26"/>
      <c r="D6" s="28"/>
      <c r="E6" s="138" t="s">
        <v>9</v>
      </c>
      <c r="F6" s="139">
        <v>1</v>
      </c>
      <c r="G6" s="139">
        <v>1</v>
      </c>
      <c r="H6" s="140" t="s">
        <v>10</v>
      </c>
      <c r="I6" s="64"/>
      <c r="J6" s="11"/>
      <c r="K6" s="5">
        <f>'1. ACF_PACF'!B7</f>
        <v>7.8545599999999984</v>
      </c>
      <c r="L6" s="5">
        <f ca="1">IF($F$6 &lt;= 3,SUMPRODUCT(OFFSET($F$10,-1,0):OFFSET($F$10,-$F$6,0),OFFSET(K6,-$F$6,0):OFFSET(K6,-1,0)),0)</f>
        <v>8.7746540467364706</v>
      </c>
      <c r="M6" s="13">
        <f ca="1">IF($G$6 &lt;= 3,SUMPRODUCT(OFFSET($G$10,-1,0):OFFSET($G$10,-$G$6,0),OFFSET(O6,-$G$6,0):OFFSET(O6,-1,0)),0)</f>
        <v>3.3360110560837812E-2</v>
      </c>
      <c r="N6" s="5">
        <f t="shared" ref="N6:N51" ca="1" si="1">IF($B$4&gt;1,$B$6 +L6+M6,L6+M6)</f>
        <v>9.1640891358515049</v>
      </c>
      <c r="O6" s="6">
        <f t="shared" ca="1" si="0"/>
        <v>-1.3095291358515064</v>
      </c>
      <c r="P6" s="13"/>
    </row>
    <row r="7" spans="1:18" ht="18">
      <c r="A7" s="22" t="s">
        <v>37</v>
      </c>
      <c r="B7" s="127">
        <f>1.96*SUM(SQRT(K2:K51)/COUNT(K2:K51))</f>
        <v>0.10318250180956069</v>
      </c>
      <c r="C7" s="128" t="str">
        <f>IF(B3&gt;B7,"Non-zero mean","Zero mean")</f>
        <v>Non-zero mean</v>
      </c>
      <c r="D7" s="32"/>
      <c r="E7" s="141" t="s">
        <v>42</v>
      </c>
      <c r="F7" s="44">
        <v>1E-3</v>
      </c>
      <c r="G7" s="142">
        <v>1E-3</v>
      </c>
      <c r="H7" s="143" t="s">
        <v>3</v>
      </c>
      <c r="I7" s="64"/>
      <c r="J7" s="11"/>
      <c r="K7" s="5">
        <f>'1. ACF_PACF'!B8</f>
        <v>6.9285119999999987</v>
      </c>
      <c r="L7" s="5">
        <f ca="1">IF($F$6 &lt;= 3,SUMPRODUCT(OFFSET($F$10,-1,0):OFFSET($F$10,-$F$6,0),OFFSET(K7,-$F$6,0):OFFSET(K7,-1,0)),0)</f>
        <v>6.2829133869361149</v>
      </c>
      <c r="M7" s="13">
        <f ca="1">IF($G$6 &lt;= 3,SUMPRODUCT(OFFSET($G$10,-1,0):OFFSET($G$10,-$G$6,0),OFFSET(O7,-$G$6,0):OFFSET(O7,-1,0)),0)</f>
        <v>-0.33033485777344185</v>
      </c>
      <c r="N7" s="5">
        <f t="shared" ca="1" si="1"/>
        <v>6.3086535077168691</v>
      </c>
      <c r="O7" s="6">
        <f t="shared" ca="1" si="0"/>
        <v>0.61985849228312961</v>
      </c>
      <c r="P7" s="13"/>
    </row>
    <row r="8" spans="1:18" ht="18">
      <c r="A8" s="30" t="s">
        <v>93</v>
      </c>
      <c r="B8" s="86">
        <f ca="1">IF($F$6=1,B6/(1-$F$9),IF($F$6=2,B6/(1-$F$9-$F$8),IF($F$6=3,B6/(1-$F$9-$F$8-$F$7),0)))</f>
        <v>1.7795427167309179</v>
      </c>
      <c r="C8" s="31"/>
      <c r="D8" s="39"/>
      <c r="E8" s="141" t="s">
        <v>11</v>
      </c>
      <c r="F8" s="44">
        <v>1E-3</v>
      </c>
      <c r="G8" s="142">
        <v>1.0000000000647449E-3</v>
      </c>
      <c r="H8" s="143" t="s">
        <v>2</v>
      </c>
      <c r="I8" s="64"/>
      <c r="K8" s="5">
        <f>'1. ACF_PACF'!B9</f>
        <v>3.8660799999999984</v>
      </c>
      <c r="L8" s="5">
        <f ca="1">IF($F$6 &lt;= 3,SUMPRODUCT(OFFSET($F$10,-1,0):OFFSET($F$10,-$F$6,0),OFFSET(K8,-$F$6,0):OFFSET(K8,-1,0)),0)</f>
        <v>5.5421615973838785</v>
      </c>
      <c r="M8" s="13">
        <f ca="1">IF($G$6 &lt;= 3,SUMPRODUCT(OFFSET($G$10,-1,0):OFFSET($G$10,-$G$6,0),OFFSET(O8,-$G$6,0):OFFSET(O8,-1,0)),0)</f>
        <v>0.15636220782125959</v>
      </c>
      <c r="N8" s="5">
        <f t="shared" ca="1" si="1"/>
        <v>6.0545987837593342</v>
      </c>
      <c r="O8" s="6">
        <f t="shared" ca="1" si="0"/>
        <v>-2.1885187837593358</v>
      </c>
      <c r="P8" s="13"/>
    </row>
    <row r="9" spans="1:18" ht="18">
      <c r="A9" s="36"/>
      <c r="B9" s="37"/>
      <c r="C9" s="38"/>
      <c r="D9" s="39"/>
      <c r="E9" s="144" t="s">
        <v>0</v>
      </c>
      <c r="F9" s="145">
        <v>0.79990647304700913</v>
      </c>
      <c r="G9" s="146">
        <v>0.25225468355741881</v>
      </c>
      <c r="H9" s="147" t="s">
        <v>1</v>
      </c>
      <c r="I9" s="68"/>
      <c r="K9" s="5">
        <f>'1. ACF_PACF'!B10</f>
        <v>2.9443020799999982</v>
      </c>
      <c r="L9" s="5">
        <f ca="1">IF($F$6 &lt;= 3,SUMPRODUCT(OFFSET($F$10,-1,0):OFFSET($F$10,-$F$6,0),OFFSET(K9,-$F$6,0):OFFSET(K9,-1,0)),0)</f>
        <v>3.0925024173175797</v>
      </c>
      <c r="M9" s="13">
        <f ca="1">IF($G$6 &lt;= 3,SUMPRODUCT(OFFSET($G$10,-1,0):OFFSET($G$10,-$G$6,0),OFFSET(O9,-$G$6,0):OFFSET(O9,-1,0)),0)</f>
        <v>-0.55206411325667837</v>
      </c>
      <c r="N9" s="5">
        <f t="shared" ca="1" si="1"/>
        <v>2.8965132826150977</v>
      </c>
      <c r="O9" s="6">
        <f t="shared" ca="1" si="0"/>
        <v>4.7788797384900494E-2</v>
      </c>
      <c r="P9" s="13"/>
    </row>
    <row r="10" spans="1:18">
      <c r="A10" s="59" t="s">
        <v>40</v>
      </c>
      <c r="B10" s="60" t="s">
        <v>5</v>
      </c>
      <c r="C10" s="61" t="s">
        <v>36</v>
      </c>
      <c r="D10" s="39"/>
      <c r="E10" s="64"/>
      <c r="F10" s="65"/>
      <c r="G10" s="66"/>
      <c r="H10" s="64"/>
      <c r="I10" s="69"/>
      <c r="K10" s="5">
        <f>'1. ACF_PACF'!B11</f>
        <v>-0.12313113600000225</v>
      </c>
      <c r="L10" s="5">
        <f ca="1">IF($F$6 &lt;= 3,SUMPRODUCT(OFFSET($F$10,-1,0):OFFSET($F$10,-$F$6,0),OFFSET(K10,-$F$6,0):OFFSET(K10,-1,0)),0)</f>
        <v>2.3551662923977714</v>
      </c>
      <c r="M10" s="13">
        <f ca="1">IF($G$6 &lt;= 3,SUMPRODUCT(OFFSET($G$10,-1,0):OFFSET($G$10,-$G$6,0),OFFSET(O10,-$G$6,0):OFFSET(O10,-1,0)),0)</f>
        <v>1.2054947961917677E-2</v>
      </c>
      <c r="N10" s="5">
        <f t="shared" ca="1" si="1"/>
        <v>2.7232962189138856</v>
      </c>
      <c r="O10" s="6">
        <f t="shared" ca="1" si="0"/>
        <v>-2.8464273549138879</v>
      </c>
      <c r="P10" s="13"/>
    </row>
    <row r="11" spans="1:18" ht="18">
      <c r="A11" s="43" t="s">
        <v>14</v>
      </c>
      <c r="B11" s="44">
        <f>ABS(F9)</f>
        <v>0.79990647304700913</v>
      </c>
      <c r="C11" s="45" t="str">
        <f>IF(ABS(B11)&lt;1,"OK","No")</f>
        <v>OK</v>
      </c>
      <c r="D11" s="32"/>
      <c r="F11" s="87" t="s">
        <v>76</v>
      </c>
      <c r="H11" s="17"/>
      <c r="K11" s="5">
        <f>'1. ACF_PACF'!B12</f>
        <v>4.9504067583999998</v>
      </c>
      <c r="L11" s="5">
        <f ca="1">IF($F$6 &lt;= 3,SUMPRODUCT(OFFSET($F$10,-1,0):OFFSET($F$10,-$F$6,0),OFFSET(K11,-$F$6,0):OFFSET(K11,-1,0)),0)</f>
        <v>-9.8493392720033421E-2</v>
      </c>
      <c r="M11" s="13">
        <f ca="1">IF($G$6 &lt;= 3,SUMPRODUCT(OFFSET($G$10,-1,0):OFFSET($G$10,-$G$6,0),OFFSET(O11,-$G$6,0):OFFSET(O11,-1,0)),0)</f>
        <v>-0.71802463168298347</v>
      </c>
      <c r="N11" s="5">
        <f t="shared" ca="1" si="1"/>
        <v>-0.4604430458488204</v>
      </c>
      <c r="O11" s="6">
        <f t="shared" ca="1" si="0"/>
        <v>5.4108498042488202</v>
      </c>
    </row>
    <row r="12" spans="1:18" ht="18">
      <c r="A12" s="43" t="s">
        <v>43</v>
      </c>
      <c r="B12" s="44">
        <f>ABS(G9)</f>
        <v>0.25225468355741881</v>
      </c>
      <c r="C12" s="45" t="str">
        <f>IF(ABS(B12)&lt;1,"OK","No")</f>
        <v>OK</v>
      </c>
      <c r="D12" s="32"/>
      <c r="E12" s="96" t="s">
        <v>77</v>
      </c>
      <c r="G12" s="96" t="s">
        <v>81</v>
      </c>
      <c r="K12" s="5">
        <f>'1. ACF_PACF'!B13</f>
        <v>3.2800263884799983</v>
      </c>
      <c r="L12" s="5">
        <f ca="1">IF($F$6 &lt;= 3,SUMPRODUCT(OFFSET($F$10,-1,0):OFFSET($F$10,-$F$6,0),OFFSET(K12,-$F$6,0):OFFSET(K12,-1,0)),0)</f>
        <v>3.9598624102598214</v>
      </c>
      <c r="M12" s="13">
        <f ca="1">IF($G$6 &lt;= 3,SUMPRODUCT(OFFSET($G$10,-1,0):OFFSET($G$10,-$G$6,0),OFFSET(O12,-$G$6,0):OFFSET(O12,-1,0)),0)</f>
        <v>1.3649122051475078</v>
      </c>
      <c r="N12" s="5">
        <f t="shared" ca="1" si="1"/>
        <v>5.6808495939615256</v>
      </c>
      <c r="O12" s="6">
        <f t="shared" ca="1" si="0"/>
        <v>-2.4008232054815273</v>
      </c>
    </row>
    <row r="13" spans="1:18" ht="18">
      <c r="A13" s="43" t="s">
        <v>15</v>
      </c>
      <c r="B13" s="44">
        <f>ABS(F8)</f>
        <v>1E-3</v>
      </c>
      <c r="C13" s="45" t="str">
        <f>IF(ABS(B13)&lt;1,"OK","No")</f>
        <v>OK</v>
      </c>
      <c r="D13" s="39"/>
      <c r="E13" t="s">
        <v>78</v>
      </c>
      <c r="G13" t="s">
        <v>82</v>
      </c>
      <c r="H13" s="7"/>
      <c r="I13" s="7"/>
      <c r="K13" s="5">
        <f>'1. ACF_PACF'!B14</f>
        <v>-8.8043970560002904E-2</v>
      </c>
      <c r="L13" s="5">
        <f ca="1">IF($F$6 &lt;= 3,SUMPRODUCT(OFFSET($F$10,-1,0):OFFSET($F$10,-$F$6,0),OFFSET(K13,-$F$6,0):OFFSET(K13,-1,0)),0)</f>
        <v>2.6237143399101543</v>
      </c>
      <c r="M13" s="13">
        <f ca="1">IF($G$6 &lt;= 3,SUMPRODUCT(OFFSET($G$10,-1,0):OFFSET($G$10,-$G$6,0),OFFSET(O13,-$G$6,0):OFFSET(O13,-1,0)),0)</f>
        <v>-0.60561889797605051</v>
      </c>
      <c r="N13" s="5">
        <f t="shared" ca="1" si="1"/>
        <v>2.3741704204883001</v>
      </c>
      <c r="O13" s="6">
        <f t="shared" ca="1" si="0"/>
        <v>-2.462214391048303</v>
      </c>
    </row>
    <row r="14" spans="1:18" ht="18">
      <c r="A14" s="46" t="s">
        <v>16</v>
      </c>
      <c r="B14" s="44">
        <f>F9+F8</f>
        <v>0.80090647304700913</v>
      </c>
      <c r="C14" s="47" t="str">
        <f>IF(F9+F8&lt;1,"OK","No")</f>
        <v>OK</v>
      </c>
      <c r="D14" s="32"/>
      <c r="E14" t="s">
        <v>79</v>
      </c>
      <c r="G14" t="s">
        <v>83</v>
      </c>
      <c r="H14" s="7"/>
      <c r="I14" s="7"/>
      <c r="K14" s="5">
        <f>'1. ACF_PACF'!B15</f>
        <v>2.8647606013951963</v>
      </c>
      <c r="L14" s="5">
        <f ca="1">IF($F$6 &lt;= 3,SUMPRODUCT(OFFSET($F$10,-1,0):OFFSET($F$10,-$F$6,0),OFFSET(K14,-$F$6,0):OFFSET(K14,-1,0)),0)</f>
        <v>-7.0426941963706621E-2</v>
      </c>
      <c r="M14" s="13">
        <f ca="1">IF($G$6 &lt;= 3,SUMPRODUCT(OFFSET($G$10,-1,0):OFFSET($G$10,-$G$6,0),OFFSET(O14,-$G$6,0):OFFSET(O14,-1,0)),0)</f>
        <v>-0.62110511206441232</v>
      </c>
      <c r="N14" s="5">
        <f t="shared" ca="1" si="1"/>
        <v>-0.33545707547392245</v>
      </c>
      <c r="O14" s="6">
        <f t="shared" ca="1" si="0"/>
        <v>3.2002176768691188</v>
      </c>
    </row>
    <row r="15" spans="1:18" ht="18">
      <c r="A15" s="46" t="s">
        <v>17</v>
      </c>
      <c r="B15" s="48">
        <f>F8-F9</f>
        <v>-0.79890647304700912</v>
      </c>
      <c r="C15" s="49" t="str">
        <f>IF(F8-F9&lt;1,"OK","No")</f>
        <v>OK</v>
      </c>
      <c r="D15" s="32"/>
      <c r="E15" t="s">
        <v>80</v>
      </c>
      <c r="G15" t="s">
        <v>84</v>
      </c>
      <c r="H15" s="2"/>
      <c r="I15" s="2"/>
      <c r="K15" s="5">
        <f>'1. ACF_PACF'!B16</f>
        <v>3.345895516405756</v>
      </c>
      <c r="L15" s="5">
        <f ca="1">IF($F$6 &lt;= 3,SUMPRODUCT(OFFSET($F$10,-1,0):OFFSET($F$10,-$F$6,0),OFFSET(K15,-$F$6,0):OFFSET(K15,-1,0)),0)</f>
        <v>2.2915405487860601</v>
      </c>
      <c r="M15" s="13">
        <f ca="1">IF($G$6 &lt;= 3,SUMPRODUCT(OFFSET($G$10,-1,0):OFFSET($G$10,-$G$6,0),OFFSET(O15,-$G$6,0):OFFSET(O15,-1,0)),0)</f>
        <v>0.80726989739347754</v>
      </c>
      <c r="N15" s="5">
        <f t="shared" ca="1" si="1"/>
        <v>3.4548854247337339</v>
      </c>
      <c r="O15" s="6">
        <f t="shared" ca="1" si="0"/>
        <v>-0.10898990832797795</v>
      </c>
    </row>
    <row r="16" spans="1:18" ht="18">
      <c r="A16" s="43" t="s">
        <v>18</v>
      </c>
      <c r="B16" s="48">
        <f>ABS(G8)</f>
        <v>1.0000000000647449E-3</v>
      </c>
      <c r="C16" s="45" t="str">
        <f>IF(ABS(B16)&lt;1,"OK","No")</f>
        <v>OK</v>
      </c>
      <c r="D16" s="39"/>
      <c r="E16" s="40"/>
      <c r="F16" s="62"/>
      <c r="G16" s="63"/>
      <c r="H16" s="69"/>
      <c r="I16" s="69"/>
      <c r="K16" s="5">
        <f>'1. ACF_PACF'!B17</f>
        <v>1.8383547169013719</v>
      </c>
      <c r="L16" s="5">
        <f ca="1">IF($F$6 &lt;= 3,SUMPRODUCT(OFFSET($F$10,-1,0):OFFSET($F$10,-$F$6,0),OFFSET(K16,-$F$6,0):OFFSET(K16,-1,0)),0)</f>
        <v>2.6764034817119295</v>
      </c>
      <c r="M16" s="13">
        <f ca="1">IF($G$6 &lt;= 3,SUMPRODUCT(OFFSET($G$10,-1,0):OFFSET($G$10,-$G$6,0),OFFSET(O16,-$G$6,0):OFFSET(O16,-1,0)),0)</f>
        <v>-2.7493214836226163E-2</v>
      </c>
      <c r="N16" s="5">
        <f t="shared" ca="1" si="1"/>
        <v>3.0049852454298995</v>
      </c>
      <c r="O16" s="6">
        <f t="shared" ca="1" si="0"/>
        <v>-1.1666305285285277</v>
      </c>
    </row>
    <row r="17" spans="1:15" ht="18">
      <c r="A17" s="46" t="s">
        <v>19</v>
      </c>
      <c r="B17" s="48">
        <f>G9+G8</f>
        <v>0.25325468355748354</v>
      </c>
      <c r="C17" s="49" t="str">
        <f>IF(G9+G8&lt;1,"OK","No")</f>
        <v>OK</v>
      </c>
      <c r="D17" s="32"/>
      <c r="E17" s="33" t="s">
        <v>38</v>
      </c>
      <c r="F17" s="34" t="s">
        <v>5</v>
      </c>
      <c r="G17" s="35" t="s">
        <v>36</v>
      </c>
      <c r="H17" s="69"/>
      <c r="I17" s="69"/>
      <c r="K17" s="5">
        <f>'1. ACF_PACF'!B18</f>
        <v>4.535340490896175</v>
      </c>
      <c r="L17" s="5">
        <f ca="1">IF($F$6 &lt;= 3,SUMPRODUCT(OFFSET($F$10,-1,0):OFFSET($F$10,-$F$6,0),OFFSET(K17,-$F$6,0):OFFSET(K17,-1,0)),0)</f>
        <v>1.4705118378059092</v>
      </c>
      <c r="M17" s="13">
        <f ca="1">IF($G$6 &lt;= 3,SUMPRODUCT(OFFSET($G$10,-1,0):OFFSET($G$10,-$G$6,0),OFFSET(O17,-$G$6,0):OFFSET(O17,-1,0)),0)</f>
        <v>-0.29428801480238803</v>
      </c>
      <c r="N17" s="5">
        <f t="shared" ca="1" si="1"/>
        <v>1.5322988015577177</v>
      </c>
      <c r="O17" s="6">
        <f t="shared" ref="O17:O51" ca="1" si="2">K17-N17</f>
        <v>3.0030416893384571</v>
      </c>
    </row>
    <row r="18" spans="1:15" ht="18">
      <c r="A18" s="46" t="s">
        <v>20</v>
      </c>
      <c r="B18" s="48">
        <f>G8-G9</f>
        <v>-0.25125468355735409</v>
      </c>
      <c r="C18" s="49" t="str">
        <f>IF(G8-G9&lt;1,"OK","No")</f>
        <v>OK</v>
      </c>
      <c r="D18" s="32"/>
      <c r="E18" s="16" t="s">
        <v>4</v>
      </c>
      <c r="F18" s="90">
        <f ca="1">AVERAGE(O2:O51)</f>
        <v>1.2343185861107093E-2</v>
      </c>
      <c r="G18" s="41"/>
      <c r="H18" s="69"/>
      <c r="I18" s="69"/>
      <c r="K18" s="5">
        <f>'1. ACF_PACF'!B19</f>
        <v>0.91413563801271902</v>
      </c>
      <c r="L18" s="5">
        <f ca="1">IF($F$6 &lt;= 3,SUMPRODUCT(OFFSET($F$10,-1,0):OFFSET($F$10,-$F$6,0),OFFSET(K18,-$F$6,0):OFFSET(K18,-1,0)),0)</f>
        <v>3.6278482161400505</v>
      </c>
      <c r="M18" s="13">
        <f ca="1">IF($G$6 &lt;= 3,SUMPRODUCT(OFFSET($G$10,-1,0):OFFSET($G$10,-$G$6,0),OFFSET(O18,-$G$6,0):OFFSET(O18,-1,0)),0)</f>
        <v>0.75753133105380888</v>
      </c>
      <c r="N18" s="5">
        <f t="shared" ca="1" si="1"/>
        <v>4.7414545257480558</v>
      </c>
      <c r="O18" s="6">
        <f t="shared" ca="1" si="2"/>
        <v>-3.8273188877353368</v>
      </c>
    </row>
    <row r="19" spans="1:15" ht="18">
      <c r="A19" s="43" t="s">
        <v>21</v>
      </c>
      <c r="B19" s="48">
        <f>ABS(F7)</f>
        <v>1E-3</v>
      </c>
      <c r="C19" s="45" t="str">
        <f>IF(ABS(B19)&lt;1,"OK","No")</f>
        <v>OK</v>
      </c>
      <c r="D19" s="39"/>
      <c r="E19" s="42" t="s">
        <v>29</v>
      </c>
      <c r="F19" s="91">
        <f ca="1">STDEV(O3:O51)/SQRT(COUNT(O3:O51))</f>
        <v>0.40458079107035616</v>
      </c>
      <c r="G19" s="41"/>
      <c r="H19" s="69"/>
      <c r="I19" s="70"/>
      <c r="K19" s="5">
        <f>'1. ACF_PACF'!B20</f>
        <v>1.7656540318667853</v>
      </c>
      <c r="L19" s="5">
        <f ca="1">IF($F$6 &lt;= 3,SUMPRODUCT(OFFSET($F$10,-1,0):OFFSET($F$10,-$F$6,0),OFFSET(K19,-$F$6,0):OFFSET(K19,-1,0)),0)</f>
        <v>0.73122301408933155</v>
      </c>
      <c r="M19" s="13">
        <f ca="1">IF($G$6 &lt;= 3,SUMPRODUCT(OFFSET($G$10,-1,0):OFFSET($G$10,-$G$6,0),OFFSET(O19,-$G$6,0):OFFSET(O19,-1,0)),0)</f>
        <v>-0.96545911489900949</v>
      </c>
      <c r="N19" s="5">
        <f t="shared" ca="1" si="1"/>
        <v>0.12183887774451851</v>
      </c>
      <c r="O19" s="6">
        <f t="shared" ca="1" si="2"/>
        <v>1.6438151541222668</v>
      </c>
    </row>
    <row r="20" spans="1:15" ht="18">
      <c r="A20" s="46" t="s">
        <v>22</v>
      </c>
      <c r="B20" s="48">
        <f>F9+F8+F7</f>
        <v>0.80190647304700913</v>
      </c>
      <c r="C20" s="49" t="str">
        <f>IF(F9+F8+F7&lt;1,"OK","No")</f>
        <v>OK</v>
      </c>
      <c r="D20" s="39"/>
      <c r="E20" s="42" t="s">
        <v>86</v>
      </c>
      <c r="F20" s="90">
        <f ca="1">1.96*F19</f>
        <v>0.79297835049789811</v>
      </c>
      <c r="G20" s="88" t="str">
        <f ca="1">IF(F18&gt;F20,"Nonzero mean","Zero mean")</f>
        <v>Zero mean</v>
      </c>
      <c r="H20" s="69"/>
      <c r="I20" s="55"/>
      <c r="K20" s="5">
        <f>'1. ACF_PACF'!B21</f>
        <v>2.4062615234113913</v>
      </c>
      <c r="L20" s="5">
        <f ca="1">IF($F$6 &lt;= 3,SUMPRODUCT(OFFSET($F$10,-1,0):OFFSET($F$10,-$F$6,0),OFFSET(K20,-$F$6,0):OFFSET(K20,-1,0)),0)</f>
        <v>1.4123580892517917</v>
      </c>
      <c r="M20" s="13">
        <f ca="1">IF($G$6 &lt;= 3,SUMPRODUCT(OFFSET($G$10,-1,0):OFFSET($G$10,-$G$6,0),OFFSET(O20,-$G$6,0):OFFSET(O20,-1,0)),0)</f>
        <v>0.41466007153000206</v>
      </c>
      <c r="N20" s="5">
        <f t="shared" ca="1" si="1"/>
        <v>2.1830931393359903</v>
      </c>
      <c r="O20" s="6">
        <f t="shared" ca="1" si="2"/>
        <v>0.22316838407540107</v>
      </c>
    </row>
    <row r="21" spans="1:15" ht="18">
      <c r="A21" s="43" t="s">
        <v>23</v>
      </c>
      <c r="B21" s="48">
        <f>-F9+F8-F7</f>
        <v>-0.79990647304700913</v>
      </c>
      <c r="C21" s="49" t="str">
        <f>IF(-F9+F8-F7&lt;1,"OK","No")</f>
        <v>OK</v>
      </c>
      <c r="D21" s="32"/>
      <c r="E21" s="42" t="s">
        <v>30</v>
      </c>
      <c r="F21" s="148">
        <f ca="1">LN(VARP(O3:O51))+((2/COUNT(O3:O51))*(F6+G6+2))</f>
        <v>2.224658653587023</v>
      </c>
      <c r="G21" s="41"/>
      <c r="H21" s="69"/>
      <c r="I21" s="51"/>
      <c r="K21" s="5">
        <f>'1. ACF_PACF'!B22</f>
        <v>4.962504573630425</v>
      </c>
      <c r="L21" s="5">
        <f ca="1">IF($F$6 &lt;= 3,SUMPRODUCT(OFFSET($F$10,-1,0):OFFSET($F$10,-$F$6,0),OFFSET(K21,-$F$6,0):OFFSET(K21,-1,0)),0)</f>
        <v>1.9247841684207292</v>
      </c>
      <c r="M21" s="13">
        <f ca="1">IF($G$6 &lt;= 3,SUMPRODUCT(OFFSET($G$10,-1,0):OFFSET($G$10,-$G$6,0),OFFSET(O21,-$G$6,0):OFFSET(O21,-1,0)),0)</f>
        <v>5.6295270104960798E-2</v>
      </c>
      <c r="N21" s="5">
        <f t="shared" ca="1" si="1"/>
        <v>2.3371544170798861</v>
      </c>
      <c r="O21" s="6">
        <f t="shared" ca="1" si="2"/>
        <v>2.6253501565505388</v>
      </c>
    </row>
    <row r="22" spans="1:15" ht="18">
      <c r="A22" s="46" t="s">
        <v>24</v>
      </c>
      <c r="B22" s="48">
        <f>F7*(F7-F9)-F8</f>
        <v>-1.7989064730470092E-3</v>
      </c>
      <c r="C22" s="53" t="str">
        <f>IF(F7*(F7-F9)-F8&lt;1,"OK","No")</f>
        <v>OK</v>
      </c>
      <c r="D22" s="32"/>
      <c r="E22" s="42" t="s">
        <v>31</v>
      </c>
      <c r="F22" s="91">
        <f ca="1">LN(VARP(O3:O51))+(LN(COUNT(O3:O51)/COUNT(O3:O51)*(F6+G6+2)))</f>
        <v>3.4476877085844642</v>
      </c>
      <c r="G22" s="41"/>
      <c r="H22" s="69"/>
      <c r="I22" s="51"/>
      <c r="K22" s="5">
        <f>'1. ACF_PACF'!B23</f>
        <v>1.2850018151585152</v>
      </c>
      <c r="L22" s="5">
        <f ca="1">IF($F$6 &lt;= 3,SUMPRODUCT(OFFSET($F$10,-1,0):OFFSET($F$10,-$F$6,0),OFFSET(K22,-$F$6,0):OFFSET(K22,-1,0)),0)</f>
        <v>3.9695395309723649</v>
      </c>
      <c r="M22" s="13">
        <f ca="1">IF($G$6 &lt;= 3,SUMPRODUCT(OFFSET($G$10,-1,0):OFFSET($G$10,-$G$6,0),OFFSET(O22,-$G$6,0):OFFSET(O22,-1,0)),0)</f>
        <v>0.66225687296807612</v>
      </c>
      <c r="N22" s="5">
        <f t="shared" ca="1" si="1"/>
        <v>4.987871382494637</v>
      </c>
      <c r="O22" s="6">
        <f t="shared" ca="1" si="2"/>
        <v>-3.7028695673361218</v>
      </c>
    </row>
    <row r="23" spans="1:15" ht="18">
      <c r="A23" s="43" t="s">
        <v>25</v>
      </c>
      <c r="B23" s="48">
        <f>ABS(G7)</f>
        <v>1E-3</v>
      </c>
      <c r="C23" s="45" t="str">
        <f>IF(ABS(B23)&lt;1,"OK","No")</f>
        <v>OK</v>
      </c>
      <c r="D23" s="39"/>
      <c r="E23" s="16" t="s">
        <v>32</v>
      </c>
      <c r="F23" s="92">
        <f ca="1">SUMSQ(O2:O51)</f>
        <v>384.99634319069435</v>
      </c>
      <c r="G23" s="41"/>
      <c r="H23" s="69"/>
      <c r="I23" s="51"/>
      <c r="K23" s="5">
        <f>'1. ACF_PACF'!B24</f>
        <v>2.1140007203459419</v>
      </c>
      <c r="L23" s="5">
        <f ca="1">IF($F$6 &lt;= 3,SUMPRODUCT(OFFSET($F$10,-1,0):OFFSET($F$10,-$F$6,0),OFFSET(K23,-$F$6,0):OFFSET(K23,-1,0)),0)</f>
        <v>1.0278812698224526</v>
      </c>
      <c r="M23" s="13">
        <f ca="1">IF($G$6 &lt;= 3,SUMPRODUCT(OFFSET($G$10,-1,0):OFFSET($G$10,-$G$6,0),OFFSET(O23,-$G$6,0):OFFSET(O23,-1,0)),0)</f>
        <v>-0.93406619096276977</v>
      </c>
      <c r="N23" s="5">
        <f t="shared" ca="1" si="1"/>
        <v>0.44989005741387944</v>
      </c>
      <c r="O23" s="6">
        <f t="shared" ca="1" si="2"/>
        <v>1.6641106629320626</v>
      </c>
    </row>
    <row r="24" spans="1:15" ht="18">
      <c r="A24" s="46" t="s">
        <v>26</v>
      </c>
      <c r="B24" s="48">
        <f>G9+G8+G7</f>
        <v>0.25425468355748354</v>
      </c>
      <c r="C24" s="49" t="str">
        <f>IF(G9+G8+G7&lt;1,"OK","No")</f>
        <v>OK</v>
      </c>
      <c r="D24" s="55"/>
      <c r="E24" s="16" t="s">
        <v>33</v>
      </c>
      <c r="F24" s="93">
        <f ca="1">SQRT(F23/(COUNT(O3:O51)))</f>
        <v>2.8030462408568142</v>
      </c>
      <c r="G24" s="41"/>
      <c r="H24" s="69"/>
      <c r="I24" s="51"/>
      <c r="K24" s="5">
        <f>'1. ACF_PACF'!B25</f>
        <v>2.7456002858513884</v>
      </c>
      <c r="L24" s="5">
        <f ca="1">IF($F$6 &lt;= 3,SUMPRODUCT(OFFSET($F$10,-1,0):OFFSET($F$10,-$F$6,0),OFFSET(K24,-$F$6,0):OFFSET(K24,-1,0)),0)</f>
        <v>1.691002860230759</v>
      </c>
      <c r="M24" s="13">
        <f ca="1">IF($G$6 &lt;= 3,SUMPRODUCT(OFFSET($G$10,-1,0):OFFSET($G$10,-$G$6,0),OFFSET(O24,-$G$6,0):OFFSET(O24,-1,0)),0)</f>
        <v>0.4197797086824539</v>
      </c>
      <c r="N24" s="5">
        <f t="shared" ca="1" si="1"/>
        <v>2.4668575474674093</v>
      </c>
      <c r="O24" s="6">
        <f t="shared" ca="1" si="2"/>
        <v>0.27874273838397912</v>
      </c>
    </row>
    <row r="25" spans="1:15" ht="18">
      <c r="A25" s="43" t="s">
        <v>27</v>
      </c>
      <c r="B25" s="48">
        <f>-G9+G8-G7</f>
        <v>-0.25225468355735409</v>
      </c>
      <c r="C25" s="49" t="str">
        <f>IF(-G9+G8-G7&lt;1,"OK","No")</f>
        <v>OK</v>
      </c>
      <c r="D25" s="55"/>
      <c r="E25" s="42" t="s">
        <v>34</v>
      </c>
      <c r="F25" s="94">
        <f ca="1">F23/COUNT(O3:O51)</f>
        <v>7.8570682283815172</v>
      </c>
      <c r="G25" s="41"/>
      <c r="H25" s="70"/>
      <c r="I25" s="51"/>
      <c r="K25" s="5">
        <f>'1. ACF_PACF'!B26</f>
        <v>1.2982401134257575</v>
      </c>
      <c r="L25" s="5">
        <f ca="1">IF($F$6 &lt;= 3,SUMPRODUCT(OFFSET($F$10,-1,0):OFFSET($F$10,-$F$6,0),OFFSET(K25,-$F$6,0):OFFSET(K25,-1,0)),0)</f>
        <v>2.1962234410522443</v>
      </c>
      <c r="M25" s="13">
        <f ca="1">IF($G$6 &lt;= 3,SUMPRODUCT(OFFSET($G$10,-1,0):OFFSET($G$10,-$G$6,0),OFFSET(O25,-$G$6,0):OFFSET(O25,-1,0)),0)</f>
        <v>7.0314161264979025E-2</v>
      </c>
      <c r="N25" s="5">
        <f t="shared" ca="1" si="1"/>
        <v>2.6226125808714196</v>
      </c>
      <c r="O25" s="6">
        <f t="shared" ca="1" si="2"/>
        <v>-1.3243724674456621</v>
      </c>
    </row>
    <row r="26" spans="1:15" ht="18">
      <c r="A26" s="56" t="s">
        <v>28</v>
      </c>
      <c r="B26" s="57">
        <f>G7*(G7-G9)-G8</f>
        <v>-1.2512546836221637E-3</v>
      </c>
      <c r="C26" s="58" t="str">
        <f>IF(G7*(G7-G9)-G8&lt;1,"OK","No")</f>
        <v>OK</v>
      </c>
      <c r="D26" s="55"/>
      <c r="E26" s="50" t="s">
        <v>7</v>
      </c>
      <c r="F26" s="95">
        <f ca="1">SUMXMY2(O4:O51,O3:O50)/SUMSQ(O3:O51)</f>
        <v>2.4136502627167342</v>
      </c>
      <c r="G26" s="89" t="str">
        <f ca="1">IF(F26&lt;F42,"Positive correlation",IF(F26&gt;(4-F43),"Negative correlation","OK"))</f>
        <v>OK</v>
      </c>
      <c r="H26" s="51"/>
      <c r="I26" s="51"/>
      <c r="K26" s="5">
        <f>'1. ACF_PACF'!B27</f>
        <v>1.9296045004381313E-2</v>
      </c>
      <c r="L26" s="5">
        <f ca="1">IF($F$6 &lt;= 3,SUMPRODUCT(OFFSET($F$10,-1,0):OFFSET($F$10,-$F$6,0),OFFSET(K26,-$F$6,0):OFFSET(K26,-1,0)),0)</f>
        <v>1.0384706702985467</v>
      </c>
      <c r="M26" s="13">
        <f ca="1">IF($G$6 &lt;= 3,SUMPRODUCT(OFFSET($G$10,-1,0):OFFSET($G$10,-$G$6,0),OFFSET(O26,-$G$6,0):OFFSET(O26,-1,0)),0)</f>
        <v>-0.33407915768766344</v>
      </c>
      <c r="N26" s="5">
        <f t="shared" ca="1" si="1"/>
        <v>1.0604664911650798</v>
      </c>
      <c r="O26" s="6">
        <f t="shared" ca="1" si="2"/>
        <v>-1.0411704461606985</v>
      </c>
    </row>
    <row r="27" spans="1:15">
      <c r="E27" s="40"/>
      <c r="F27" s="29"/>
      <c r="G27" s="29"/>
      <c r="H27" s="51"/>
      <c r="I27" s="51"/>
      <c r="K27" s="5">
        <f>'1. ACF_PACF'!B28</f>
        <v>0.8077184178553809</v>
      </c>
      <c r="L27" s="5">
        <f ca="1">IF($F$6 &lt;= 3,SUMPRODUCT(OFFSET($F$10,-1,0):OFFSET($F$10,-$F$6,0),OFFSET(K27,-$F$6,0):OFFSET(K27,-1,0)),0)</f>
        <v>1.5435031303211015E-2</v>
      </c>
      <c r="M27" s="13">
        <f ca="1">IF($G$6 &lt;= 3,SUMPRODUCT(OFFSET($G$10,-1,0):OFFSET($G$10,-$G$6,0),OFFSET(O27,-$G$6,0):OFFSET(O27,-1,0)),0)</f>
        <v>-0.26264012142560356</v>
      </c>
      <c r="N27" s="5">
        <f t="shared" ca="1" si="1"/>
        <v>0.10886988843180395</v>
      </c>
      <c r="O27" s="6">
        <f t="shared" ca="1" si="2"/>
        <v>0.69884852942357689</v>
      </c>
    </row>
    <row r="28" spans="1:15">
      <c r="E28" s="40"/>
      <c r="F28" s="29"/>
      <c r="G28" s="29"/>
      <c r="H28" s="51"/>
      <c r="I28" s="51"/>
      <c r="K28" s="5">
        <f>'1. ACF_PACF'!B29</f>
        <v>-0.57691263291639938</v>
      </c>
      <c r="L28" s="5">
        <f ca="1">IF($F$6 &lt;= 3,SUMPRODUCT(OFFSET($F$10,-1,0):OFFSET($F$10,-$F$6,0),OFFSET(K28,-$F$6,0):OFFSET(K28,-1,0)),0)</f>
        <v>0.64609919084180811</v>
      </c>
      <c r="M28" s="13">
        <f ca="1">IF($G$6 &lt;= 3,SUMPRODUCT(OFFSET($G$10,-1,0):OFFSET($G$10,-$G$6,0),OFFSET(O28,-$G$6,0):OFFSET(O28,-1,0)),0)</f>
        <v>0.17628781464431187</v>
      </c>
      <c r="N28" s="5">
        <f t="shared" ca="1" si="1"/>
        <v>1.1784619840403165</v>
      </c>
      <c r="O28" s="6">
        <f t="shared" ca="1" si="2"/>
        <v>-1.7553746169567159</v>
      </c>
    </row>
    <row r="29" spans="1:15">
      <c r="G29" s="52"/>
      <c r="H29" s="51"/>
      <c r="K29" s="5">
        <f>'1. ACF_PACF'!B30</f>
        <v>-1.8307650531899835</v>
      </c>
      <c r="L29" s="5">
        <f ca="1">IF($F$6 &lt;= 3,SUMPRODUCT(OFFSET($F$10,-1,0):OFFSET($F$10,-$F$6,0),OFFSET(K29,-$F$6,0):OFFSET(K29,-1,0)),0)</f>
        <v>-0.46147614945242088</v>
      </c>
      <c r="M29" s="13">
        <f ca="1">IF($G$6 &lt;= 3,SUMPRODUCT(OFFSET($G$10,-1,0):OFFSET($G$10,-$G$6,0),OFFSET(O29,-$G$6,0):OFFSET(O29,-1,0)),0)</f>
        <v>-0.44280146852514163</v>
      </c>
      <c r="N29" s="5">
        <f t="shared" ca="1" si="1"/>
        <v>-0.548202639423366</v>
      </c>
      <c r="O29" s="6">
        <f t="shared" ca="1" si="2"/>
        <v>-1.2825624137666174</v>
      </c>
    </row>
    <row r="30" spans="1:15" ht="18">
      <c r="E30" s="7"/>
      <c r="F30">
        <v>1.462</v>
      </c>
      <c r="G30" t="s">
        <v>98</v>
      </c>
      <c r="H30" s="51"/>
      <c r="K30" s="5">
        <f>'1. ACF_PACF'!B31</f>
        <v>-3.0323060212853661</v>
      </c>
      <c r="L30" s="5">
        <f ca="1">IF($F$6 &lt;= 3,SUMPRODUCT(OFFSET($F$10,-1,0):OFFSET($F$10,-$F$6,0),OFFSET(K30,-$F$6,0):OFFSET(K30,-1,0)),0)</f>
        <v>-1.4644408166749199</v>
      </c>
      <c r="M30" s="13">
        <f ca="1">IF($G$6 &lt;= 3,SUMPRODUCT(OFFSET($G$10,-1,0):OFFSET($G$10,-$G$6,0),OFFSET(O30,-$G$6,0):OFFSET(O30,-1,0)),0)</f>
        <v>-0.32353237582733735</v>
      </c>
      <c r="N30" s="5">
        <f t="shared" ca="1" si="1"/>
        <v>-1.4318982139480607</v>
      </c>
      <c r="O30" s="6">
        <f t="shared" ca="1" si="2"/>
        <v>-1.6004078073373054</v>
      </c>
    </row>
    <row r="31" spans="1:15" ht="18">
      <c r="E31" s="7"/>
      <c r="F31">
        <v>1.6279999999999999</v>
      </c>
      <c r="G31" t="s">
        <v>99</v>
      </c>
      <c r="H31" s="51"/>
      <c r="K31" s="5">
        <f>'1. ACF_PACF'!B32</f>
        <v>-6.2129224085178993</v>
      </c>
      <c r="L31" s="5">
        <f ca="1">IF($F$6 &lt;= 3,SUMPRODUCT(OFFSET($F$10,-1,0):OFFSET($F$10,-$F$6,0),OFFSET(K31,-$F$6,0):OFFSET(K31,-1,0)),0)</f>
        <v>-2.4255612146855863</v>
      </c>
      <c r="M31" s="13">
        <f ca="1">IF($G$6 &lt;= 3,SUMPRODUCT(OFFSET($G$10,-1,0):OFFSET($G$10,-$G$6,0),OFFSET(O31,-$G$6,0):OFFSET(O31,-1,0)),0)</f>
        <v>-0.40371036500269447</v>
      </c>
      <c r="N31" s="5">
        <f t="shared" ca="1" si="1"/>
        <v>-2.4731966011340845</v>
      </c>
      <c r="O31" s="6">
        <f t="shared" ca="1" si="2"/>
        <v>-3.7397258073838149</v>
      </c>
    </row>
    <row r="32" spans="1:15">
      <c r="F32" s="54"/>
      <c r="G32" s="54"/>
      <c r="H32" s="51"/>
      <c r="K32" s="5">
        <f>'1. ACF_PACF'!B33</f>
        <v>-1.1851689634086644</v>
      </c>
      <c r="L32" s="5">
        <f ca="1">IF($F$6 &lt;= 3,SUMPRODUCT(OFFSET($F$10,-1,0):OFFSET($F$10,-$F$6,0),OFFSET(K32,-$F$6,0):OFFSET(K32,-1,0)),0)</f>
        <v>-4.9697568511122823</v>
      </c>
      <c r="M32" s="13">
        <f ca="1">IF($G$6 &lt;= 3,SUMPRODUCT(OFFSET($G$10,-1,0):OFFSET($G$10,-$G$6,0),OFFSET(O32,-$G$6,0):OFFSET(O32,-1,0)),0)</f>
        <v>-0.94336335013311678</v>
      </c>
      <c r="N32" s="5">
        <f t="shared" ca="1" si="1"/>
        <v>-5.5570452226912028</v>
      </c>
      <c r="O32" s="6">
        <f t="shared" ca="1" si="2"/>
        <v>4.3718762592825389</v>
      </c>
    </row>
    <row r="33" spans="5:15">
      <c r="F33" s="1"/>
      <c r="G33" s="1"/>
      <c r="H33" s="51"/>
      <c r="K33" s="5">
        <f>'1. ACF_PACF'!B34</f>
        <v>-2.8740675853640711</v>
      </c>
      <c r="L33" s="5">
        <f ca="1">IF($F$6 &lt;= 3,SUMPRODUCT(OFFSET($F$10,-1,0):OFFSET($F$10,-$F$6,0),OFFSET(K33,-$F$6,0):OFFSET(K33,-1,0)),0)</f>
        <v>-0.94802432548500459</v>
      </c>
      <c r="M33" s="13">
        <f ca="1">IF($G$6 &lt;= 3,SUMPRODUCT(OFFSET($G$10,-1,0):OFFSET($G$10,-$G$6,0),OFFSET(O33,-$G$6,0):OFFSET(O33,-1,0)),0)</f>
        <v>1.1028262623375087</v>
      </c>
      <c r="N33" s="5">
        <f t="shared" ca="1" si="1"/>
        <v>0.51087691540670055</v>
      </c>
      <c r="O33" s="6">
        <f t="shared" ca="1" si="2"/>
        <v>-3.3849445007707715</v>
      </c>
    </row>
    <row r="34" spans="5:15">
      <c r="F34" s="7"/>
      <c r="G34" s="7"/>
      <c r="H34" s="51"/>
      <c r="K34" s="5">
        <f>'1. ACF_PACF'!B35</f>
        <v>-6.2496270341458739</v>
      </c>
      <c r="L34" s="5">
        <f ca="1">IF($F$6 &lt;= 3,SUMPRODUCT(OFFSET($F$10,-1,0):OFFSET($F$10,-$F$6,0),OFFSET(K34,-$F$6,0):OFFSET(K34,-1,0)),0)</f>
        <v>-2.2989852655073078</v>
      </c>
      <c r="M34" s="13">
        <f ca="1">IF($G$6 &lt;= 3,SUMPRODUCT(OFFSET($G$10,-1,0):OFFSET($G$10,-$G$6,0),OFFSET(O34,-$G$6,0):OFFSET(O34,-1,0)),0)</f>
        <v>-0.85386810390135592</v>
      </c>
      <c r="N34" s="5">
        <f t="shared" ca="1" si="1"/>
        <v>-2.7967783908544672</v>
      </c>
      <c r="O34" s="6">
        <f t="shared" ca="1" si="2"/>
        <v>-3.4528486432914067</v>
      </c>
    </row>
    <row r="35" spans="5:15">
      <c r="E35" s="8"/>
      <c r="F35" s="2"/>
      <c r="G35" s="2"/>
      <c r="K35" s="5">
        <f>'1. ACF_PACF'!B36</f>
        <v>-1.2998508136584519</v>
      </c>
      <c r="L35" s="5">
        <f ca="1">IF($F$6 &lt;= 3,SUMPRODUCT(OFFSET($F$10,-1,0):OFFSET($F$10,-$F$6,0),OFFSET(K35,-$F$6,0):OFFSET(K35,-1,0)),0)</f>
        <v>-4.9991171187428662</v>
      </c>
      <c r="M35" s="13">
        <f ca="1">IF($G$6 &lt;= 3,SUMPRODUCT(OFFSET($G$10,-1,0):OFFSET($G$10,-$G$6,0),OFFSET(O35,-$G$6,0):OFFSET(O35,-1,0)),0)</f>
        <v>-0.87099724188513672</v>
      </c>
      <c r="N35" s="5">
        <f t="shared" ca="1" si="1"/>
        <v>-5.5140393820738067</v>
      </c>
      <c r="O35" s="6">
        <f t="shared" ca="1" si="2"/>
        <v>4.2141885684153548</v>
      </c>
    </row>
    <row r="36" spans="5:15">
      <c r="F36" s="7"/>
      <c r="G36" s="7"/>
      <c r="K36" s="5">
        <f>'1. ACF_PACF'!B37</f>
        <v>-1.0199403254634252</v>
      </c>
      <c r="L36" s="5">
        <f ca="1">IF($F$6 &lt;= 3,SUMPRODUCT(OFFSET($F$10,-1,0):OFFSET($F$10,-$F$6,0),OFFSET(K36,-$F$6,0):OFFSET(K36,-1,0)),0)</f>
        <v>-1.0397590798408174</v>
      </c>
      <c r="M36" s="13">
        <f ca="1">IF($G$6 &lt;= 3,SUMPRODUCT(OFFSET($G$10,-1,0):OFFSET($G$10,-$G$6,0),OFFSET(O36,-$G$6,0):OFFSET(O36,-1,0)),0)</f>
        <v>1.063048803776907</v>
      </c>
      <c r="N36" s="5">
        <f t="shared" ca="1" si="1"/>
        <v>0.3793647024902862</v>
      </c>
      <c r="O36" s="6">
        <f t="shared" ca="1" si="2"/>
        <v>-1.3993050279537114</v>
      </c>
    </row>
    <row r="37" spans="5:15">
      <c r="F37" s="7"/>
      <c r="G37" s="7"/>
      <c r="K37" s="5">
        <f>'1. ACF_PACF'!B38</f>
        <v>-2.6079761301853921</v>
      </c>
      <c r="L37" s="5">
        <f ca="1">IF($F$6 &lt;= 3,SUMPRODUCT(OFFSET($F$10,-1,0):OFFSET($F$10,-$F$6,0),OFFSET(K37,-$F$6,0):OFFSET(K37,-1,0)),0)</f>
        <v>-0.81585686845986705</v>
      </c>
      <c r="M37" s="13">
        <f ca="1">IF($G$6 &lt;= 3,SUMPRODUCT(OFFSET($G$10,-1,0):OFFSET($G$10,-$G$6,0),OFFSET(O37,-$G$6,0):OFFSET(O37,-1,0)),0)</f>
        <v>-0.35298124702676853</v>
      </c>
      <c r="N37" s="5">
        <f t="shared" ca="1" si="1"/>
        <v>-0.81276313693243907</v>
      </c>
      <c r="O37" s="6">
        <f t="shared" ca="1" si="2"/>
        <v>-1.795212993252953</v>
      </c>
    </row>
    <row r="38" spans="5:15">
      <c r="F38" s="2"/>
      <c r="G38" s="2"/>
      <c r="K38" s="5">
        <f>'1. ACF_PACF'!B39</f>
        <v>2.0568095479258304</v>
      </c>
      <c r="L38" s="5">
        <f ca="1">IF($F$6 &lt;= 3,SUMPRODUCT(OFFSET($F$10,-1,0):OFFSET($F$10,-$F$6,0),OFFSET(K38,-$F$6,0):OFFSET(K38,-1,0)),0)</f>
        <v>-2.0861369880873846</v>
      </c>
      <c r="M38" s="13">
        <f ca="1">IF($G$6 &lt;= 3,SUMPRODUCT(OFFSET($G$10,-1,0):OFFSET($G$10,-$G$6,0),OFFSET(O38,-$G$6,0):OFFSET(O38,-1,0)),0)</f>
        <v>-0.45285088553119029</v>
      </c>
      <c r="N38" s="5">
        <f t="shared" ca="1" si="1"/>
        <v>-2.1829128950643781</v>
      </c>
      <c r="O38" s="6">
        <f t="shared" ca="1" si="2"/>
        <v>4.2397224429902085</v>
      </c>
    </row>
    <row r="39" spans="5:15">
      <c r="F39" s="7"/>
      <c r="G39" s="7"/>
      <c r="K39" s="5">
        <f>'1. ACF_PACF'!B40</f>
        <v>2.2227238191703229</v>
      </c>
      <c r="L39" s="5">
        <f ca="1">IF($F$6 &lt;= 3,SUMPRODUCT(OFFSET($F$10,-1,0):OFFSET($F$10,-$F$6,0),OFFSET(K39,-$F$6,0):OFFSET(K39,-1,0)),0)</f>
        <v>1.6452552712107642</v>
      </c>
      <c r="M39" s="13">
        <f ca="1">IF($G$6 &lt;= 3,SUMPRODUCT(OFFSET($G$10,-1,0):OFFSET($G$10,-$G$6,0),OFFSET(O39,-$G$6,0):OFFSET(O39,-1,0)),0)</f>
        <v>1.0694898432277817</v>
      </c>
      <c r="N39" s="5">
        <f t="shared" ca="1" si="1"/>
        <v>3.0708200929927423</v>
      </c>
      <c r="O39" s="6">
        <f t="shared" ca="1" si="2"/>
        <v>-0.84809627382241937</v>
      </c>
    </row>
    <row r="40" spans="5:15">
      <c r="F40" s="7"/>
      <c r="G40" s="7"/>
      <c r="K40" s="5">
        <f>'1. ACF_PACF'!B41</f>
        <v>0.58908952766812117</v>
      </c>
      <c r="L40" s="5">
        <f ca="1">IF($F$6 &lt;= 3,SUMPRODUCT(OFFSET($F$10,-1,0):OFFSET($F$10,-$F$6,0),OFFSET(K40,-$F$6,0):OFFSET(K40,-1,0)),0)</f>
        <v>1.7779711707501111</v>
      </c>
      <c r="M40" s="13">
        <f ca="1">IF($G$6 &lt;= 3,SUMPRODUCT(OFFSET($G$10,-1,0):OFFSET($G$10,-$G$6,0),OFFSET(O40,-$G$6,0):OFFSET(O40,-1,0)),0)</f>
        <v>-0.21393625717930043</v>
      </c>
      <c r="N40" s="5">
        <f t="shared" ca="1" si="1"/>
        <v>1.9201098921250073</v>
      </c>
      <c r="O40" s="6">
        <f t="shared" ca="1" si="2"/>
        <v>-1.3310203644568861</v>
      </c>
    </row>
    <row r="41" spans="5:15">
      <c r="K41" s="5">
        <f>'1. ACF_PACF'!B42</f>
        <v>5.2356358110672412</v>
      </c>
      <c r="L41" s="5">
        <f ca="1">IF($F$6 &lt;= 3,SUMPRODUCT(OFFSET($F$10,-1,0):OFFSET($F$10,-$F$6,0),OFFSET(K41,-$F$6,0):OFFSET(K41,-1,0)),0)</f>
        <v>0.47121652638593531</v>
      </c>
      <c r="M41" s="13">
        <f ca="1">IF($G$6 &lt;= 3,SUMPRODUCT(OFFSET($G$10,-1,0):OFFSET($G$10,-$G$6,0),OFFSET(O41,-$G$6,0):OFFSET(O41,-1,0)),0)</f>
        <v>-0.33575612084455209</v>
      </c>
      <c r="N41" s="5">
        <f t="shared" ca="1" si="1"/>
        <v>0.49153538409557973</v>
      </c>
      <c r="O41" s="6">
        <f t="shared" ca="1" si="2"/>
        <v>4.7441004269716611</v>
      </c>
    </row>
    <row r="42" spans="5:15">
      <c r="F42" s="2"/>
      <c r="G42" s="2"/>
      <c r="K42" s="5">
        <f>'1. ACF_PACF'!B43</f>
        <v>1.3942543244268895</v>
      </c>
      <c r="L42" s="5">
        <f ca="1">IF($F$6 &lt;= 3,SUMPRODUCT(OFFSET($F$10,-1,0):OFFSET($F$10,-$F$6,0),OFFSET(K42,-$F$6,0):OFFSET(K42,-1,0)),0)</f>
        <v>4.1880189757894142</v>
      </c>
      <c r="M42" s="13">
        <f ca="1">IF($G$6 &lt;= 3,SUMPRODUCT(OFFSET($G$10,-1,0):OFFSET($G$10,-$G$6,0),OFFSET(O42,-$G$6,0):OFFSET(O42,-1,0)),0)</f>
        <v>1.1967215519703518</v>
      </c>
      <c r="N42" s="5">
        <f t="shared" ca="1" si="1"/>
        <v>5.7408155063139628</v>
      </c>
      <c r="O42" s="6">
        <f t="shared" ca="1" si="2"/>
        <v>-4.3465611818870737</v>
      </c>
    </row>
    <row r="43" spans="5:15">
      <c r="F43" s="7"/>
      <c r="G43" s="7"/>
      <c r="K43" s="5">
        <f>'1. ACF_PACF'!B44</f>
        <v>2.1577017297707481</v>
      </c>
      <c r="L43" s="5">
        <f ca="1">IF($F$6 &lt;= 3,SUMPRODUCT(OFFSET($F$10,-1,0):OFFSET($F$10,-$F$6,0),OFFSET(K43,-$F$6,0):OFFSET(K43,-1,0)),0)</f>
        <v>1.1152730591828535</v>
      </c>
      <c r="M43" s="13">
        <f ca="1">IF($G$6 &lt;= 3,SUMPRODUCT(OFFSET($G$10,-1,0):OFFSET($G$10,-$G$6,0),OFFSET(O43,-$G$6,0):OFFSET(O43,-1,0)),0)</f>
        <v>-1.0964404154998841</v>
      </c>
      <c r="N43" s="5">
        <f t="shared" ca="1" si="1"/>
        <v>0.37490762223716589</v>
      </c>
      <c r="O43" s="6">
        <f t="shared" ca="1" si="2"/>
        <v>1.7827941075335823</v>
      </c>
    </row>
    <row r="44" spans="5:15">
      <c r="F44" s="7"/>
      <c r="G44" s="7"/>
      <c r="K44" s="5">
        <f>'1. ACF_PACF'!B45</f>
        <v>6.763080691908292</v>
      </c>
      <c r="L44" s="5">
        <f ca="1">IF($F$6 &lt;= 3,SUMPRODUCT(OFFSET($F$10,-1,0):OFFSET($F$10,-$F$6,0),OFFSET(K44,-$F$6,0):OFFSET(K44,-1,0)),0)</f>
        <v>1.7259595805483499</v>
      </c>
      <c r="M44" s="13">
        <f ca="1">IF($G$6 &lt;= 3,SUMPRODUCT(OFFSET($G$10,-1,0):OFFSET($G$10,-$G$6,0),OFFSET(O44,-$G$6,0):OFFSET(O44,-1,0)),0)</f>
        <v>0.44971816344391469</v>
      </c>
      <c r="N44" s="5">
        <f t="shared" ca="1" si="1"/>
        <v>2.5317527225464609</v>
      </c>
      <c r="O44" s="6">
        <f t="shared" ca="1" si="2"/>
        <v>4.2313279693618311</v>
      </c>
    </row>
    <row r="45" spans="5:15">
      <c r="K45" s="5">
        <f>'1. ACF_PACF'!B46</f>
        <v>4.905232276763309</v>
      </c>
      <c r="L45" s="5">
        <f ca="1">IF($F$6 &lt;= 3,SUMPRODUCT(OFFSET($F$10,-1,0):OFFSET($F$10,-$F$6,0),OFFSET(K45,-$F$6,0):OFFSET(K45,-1,0)),0)</f>
        <v>5.4098320231966879</v>
      </c>
      <c r="M45" s="13">
        <f ca="1">IF($G$6 &lt;= 3,SUMPRODUCT(OFFSET($G$10,-1,0):OFFSET($G$10,-$G$6,0),OFFSET(O45,-$G$6,0):OFFSET(O45,-1,0)),0)</f>
        <v>1.0673722979390243</v>
      </c>
      <c r="N45" s="5">
        <f t="shared" ca="1" si="1"/>
        <v>6.8332792996899085</v>
      </c>
      <c r="O45" s="6">
        <f t="shared" ca="1" si="2"/>
        <v>-1.9280470229265996</v>
      </c>
    </row>
    <row r="46" spans="5:15">
      <c r="K46" s="5">
        <f>'1. ACF_PACF'!B47</f>
        <v>1.4620929107053158</v>
      </c>
      <c r="L46" s="5">
        <f ca="1">IF($F$6 &lt;= 3,SUMPRODUCT(OFFSET($F$10,-1,0):OFFSET($F$10,-$F$6,0),OFFSET(K46,-$F$6,0):OFFSET(K46,-1,0)),0)</f>
        <v>3.9237270499820891</v>
      </c>
      <c r="M46" s="13">
        <f ca="1">IF($G$6 &lt;= 3,SUMPRODUCT(OFFSET($G$10,-1,0):OFFSET($G$10,-$G$6,0),OFFSET(O46,-$G$6,0):OFFSET(O46,-1,0)),0)</f>
        <v>-0.48635889165217278</v>
      </c>
      <c r="N46" s="5">
        <f t="shared" ca="1" si="1"/>
        <v>3.7934431368841128</v>
      </c>
      <c r="O46" s="6">
        <f t="shared" ca="1" si="2"/>
        <v>-2.3313502261787971</v>
      </c>
    </row>
    <row r="47" spans="5:15">
      <c r="K47" s="5">
        <f>'1. ACF_PACF'!B48</f>
        <v>-1.6151628357178818</v>
      </c>
      <c r="L47" s="5">
        <f ca="1">IF($F$6 &lt;= 3,SUMPRODUCT(OFFSET($F$10,-1,0):OFFSET($F$10,-$F$6,0),OFFSET(K47,-$F$6,0):OFFSET(K47,-1,0)),0)</f>
        <v>1.1695375834693247</v>
      </c>
      <c r="M47" s="13">
        <f ca="1">IF($G$6 &lt;= 3,SUMPRODUCT(OFFSET($G$10,-1,0):OFFSET($G$10,-$G$6,0),OFFSET(O47,-$G$6,0):OFFSET(O47,-1,0)),0)</f>
        <v>-0.58809401356624924</v>
      </c>
      <c r="N47" s="5">
        <f t="shared" ca="1" si="1"/>
        <v>0.93751854845727201</v>
      </c>
      <c r="O47" s="6">
        <f t="shared" ca="1" si="2"/>
        <v>-2.5526813841751537</v>
      </c>
    </row>
    <row r="48" spans="5:15">
      <c r="F48" s="8"/>
      <c r="G48" s="8"/>
      <c r="K48" s="5">
        <f>'1. ACF_PACF'!B49</f>
        <v>-4.5460651342871614</v>
      </c>
      <c r="L48" s="5">
        <f ca="1">IF($F$6 &lt;= 3,SUMPRODUCT(OFFSET($F$10,-1,0):OFFSET($F$10,-$F$6,0),OFFSET(K48,-$F$6,0):OFFSET(K48,-1,0)),0)</f>
        <v>-1.2919792073156966</v>
      </c>
      <c r="M48" s="13">
        <f ca="1">IF($G$6 &lt;= 3,SUMPRODUCT(OFFSET($G$10,-1,0):OFFSET($G$10,-$G$6,0),OFFSET(O48,-$G$6,0):OFFSET(O48,-1,0)),0)</f>
        <v>-0.64392583478801724</v>
      </c>
      <c r="N48" s="5">
        <f t="shared" ca="1" si="1"/>
        <v>-1.5798300635495173</v>
      </c>
      <c r="O48" s="6">
        <f t="shared" ca="1" si="2"/>
        <v>-2.9662350707376444</v>
      </c>
    </row>
    <row r="49" spans="6:15">
      <c r="K49" s="5">
        <f>'1. ACF_PACF'!B50</f>
        <v>-1.4184260537148732</v>
      </c>
      <c r="L49" s="5">
        <f ca="1">IF($F$6 &lt;= 3,SUMPRODUCT(OFFSET($F$10,-1,0):OFFSET($F$10,-$F$6,0),OFFSET(K49,-$F$6,0):OFFSET(K49,-1,0)),0)</f>
        <v>-3.6364269278096213</v>
      </c>
      <c r="M49" s="13">
        <f ca="1">IF($G$6 &lt;= 3,SUMPRODUCT(OFFSET($G$10,-1,0):OFFSET($G$10,-$G$6,0),OFFSET(O49,-$G$6,0):OFFSET(O49,-1,0)),0)</f>
        <v>-0.74824668912584225</v>
      </c>
      <c r="N49" s="5">
        <f t="shared" ca="1" si="1"/>
        <v>-4.0285986383812675</v>
      </c>
      <c r="O49" s="6">
        <f t="shared" ca="1" si="2"/>
        <v>2.6101725846663943</v>
      </c>
    </row>
    <row r="50" spans="6:15">
      <c r="K50" s="5">
        <f>'1. ACF_PACF'!B51</f>
        <v>1.1326295785140421</v>
      </c>
      <c r="L50" s="5">
        <f ca="1">IF($F$6 &lt;= 3,SUMPRODUCT(OFFSET($F$10,-1,0):OFFSET($F$10,-$F$6,0),OFFSET(K50,-$F$6,0):OFFSET(K50,-1,0)),0)</f>
        <v>-1.1346081819050517</v>
      </c>
      <c r="M50" s="13">
        <f ca="1">IF($G$6 &lt;= 3,SUMPRODUCT(OFFSET($G$10,-1,0):OFFSET($G$10,-$G$6,0),OFFSET(O50,-$G$6,0):OFFSET(O50,-1,0)),0)</f>
        <v>0.65842825937527127</v>
      </c>
      <c r="N50" s="5">
        <f t="shared" ca="1" si="1"/>
        <v>-0.12010494397558391</v>
      </c>
      <c r="O50" s="6">
        <f t="shared" ca="1" si="2"/>
        <v>1.252734522489626</v>
      </c>
    </row>
    <row r="51" spans="6:15">
      <c r="K51" s="5">
        <f>'1. ACF_PACF'!B52</f>
        <v>2.0099999999999998</v>
      </c>
      <c r="L51" s="5">
        <f ca="1">IF($F$6 &lt;= 3,SUMPRODUCT(OFFSET($F$10,-1,0):OFFSET($F$10,-$F$6,0),OFFSET(K51,-$F$6,0):OFFSET(K51,-1,0)),0)</f>
        <v>0.90599773141788797</v>
      </c>
      <c r="M51" s="13">
        <f ca="1">IF($G$6 &lt;= 3,SUMPRODUCT(OFFSET($G$10,-1,0):OFFSET($G$10,-$G$6,0),OFFSET(O51,-$G$6,0):OFFSET(O51,-1,0)),0)</f>
        <v>0.31600815055207476</v>
      </c>
      <c r="N51" s="5">
        <f t="shared" ca="1" si="1"/>
        <v>1.5780808605241594</v>
      </c>
      <c r="O51" s="6">
        <f t="shared" ca="1" si="2"/>
        <v>0.43191913947584037</v>
      </c>
    </row>
    <row r="52" spans="6:15">
      <c r="N52" s="14"/>
    </row>
    <row r="55" spans="6:15">
      <c r="F55" s="10"/>
      <c r="G55" s="10"/>
    </row>
    <row r="502" spans="16:16">
      <c r="P502" s="15"/>
    </row>
    <row r="503" spans="16:16">
      <c r="P503" s="15"/>
    </row>
    <row r="504" spans="16:16">
      <c r="P504" s="15"/>
    </row>
    <row r="505" spans="16:16">
      <c r="P505" s="15"/>
    </row>
    <row r="506" spans="16:16">
      <c r="P506" s="15"/>
    </row>
    <row r="507" spans="16:16">
      <c r="P507" s="15"/>
    </row>
    <row r="508" spans="16:16">
      <c r="P508" s="15"/>
    </row>
    <row r="509" spans="16:16">
      <c r="P509" s="15"/>
    </row>
    <row r="510" spans="16:16">
      <c r="P510" s="15"/>
    </row>
    <row r="511" spans="16:16">
      <c r="P511" s="15"/>
    </row>
    <row r="512" spans="16:16">
      <c r="P512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ACF_PACF</vt:lpstr>
      <vt:lpstr>B-J ARMA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2016-12-12T15:32:19Z</dcterms:created>
  <dcterms:modified xsi:type="dcterms:W3CDTF">2022-06-08T19:46:49Z</dcterms:modified>
</cp:coreProperties>
</file>